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MAR\INF_ELABORADA\"/>
    </mc:Choice>
  </mc:AlternateContent>
  <xr:revisionPtr revIDLastSave="0" documentId="8_{45FFDB78-C796-475E-8564-7A53619ECC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Dat_01!$A$85:$R$114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O146" i="18" s="1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N140" i="18" l="1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<sst xmlns="http://schemas.openxmlformats.org/spreadsheetml/2006/main" count="425" uniqueCount="129">
  <si>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</si>
  <si>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</si>
  <si>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</si>
  <si>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</si>
  <si>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</si>
  <si>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</si>
  <si>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</si>
  <si>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</si>
  <si>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</si>
  <si>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</si>
  <si>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</si>
  <si>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</si>
  <si>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</si>
  <si>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</si>
  <si>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</si>
  <si>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</si>
  <si>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</si>
  <si>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</si>
  <si>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</si>
  <si>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</si>
  <si>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</si>
  <si>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</si>
  <si>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</si>
  <si>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</si>
  <si>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</si>
  <si>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</si>
  <si>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</si>
  <si>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</si>
  <si>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</si>
  <si>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</si>
  <si>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</si>
  <si>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</si>
  <si>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</si>
  <si>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</si>
  <si>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</si>
  <si>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</si>
  <si>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</si>
  <si>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</si>
  <si>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</si>
  <si>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</si>
  <si>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</si>
  <si>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</si>
  <si>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</si>
  <si>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</si>
  <si>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</si>
  <si>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</si>
  <si>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</si>
  <si>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</si>
  <si>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</si>
  <si>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</si>
  <si>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</si>
  <si>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</si>
  <si>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</si>
  <si>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</si>
  <si>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</si>
  <si>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</si>
  <si>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</si>
  <si>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</si>
  <si>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</si>
  <si>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</si>
  <si>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</si>
  <si>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</si>
  <si>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</si>
  <si>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</si>
  <si>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</si>
  <si>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</si>
  <si>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</si>
  <si>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</si>
  <si>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</si>
  <si>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</si>
  <si>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</si>
  <si>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</si>
  <si>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</si>
  <si>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</si>
  <si>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</si>
  <si>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</si>
  <si>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</si>
  <si>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</si>
  <si>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</si>
  <si>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</si>
  <si>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</si>
  <si>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</si>
  <si>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</si>
  <si>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</si>
  <si>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</si>
  <si>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</si>
  <si>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</si>
  <si>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</si>
  <si>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</si>
  <si>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</si>
  <si>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</si>
  <si>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</si>
  <si>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</si>
  <si>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</si>
  <si>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</si>
  <si>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</si>
  <si>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</si>
  <si>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</si>
  <si>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</si>
  <si>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</si>
  <si>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</si>
  <si>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</si>
  <si>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</si>
  <si>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</si>
  <si>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</si>
  <si>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</si>
  <si>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</si>
  <si>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</si>
  <si>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</si>
  <si>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</si>
  <si>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</si>
  <si>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</si>
  <si>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</si>
  <si>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</si>
  <si>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</si>
  <si>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</si>
  <si>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</si>
  <si>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</si>
  <si>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</si>
  <si>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</si>
  <si>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</si>
  <si>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31/03/2023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</si>
  <si>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ut="04/13/2023 08:11:07"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msgID="B979B6CB11EDD9D2CD200080EF857B36"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</si>
  <si>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ut="04/13/2023 08:14:22"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msgID="C8B7730D11EDD9D2CD200080EF755C38"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nrr="1292" nrc="2432"&gt;&lt;pg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</si>
  <si>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Abril 2023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</si>
  <si>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ut="04/13/2023 08:22:21"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msgID="C15CD40311EDD9D3CD200080EF45FD3A"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cols="18" /&gt;&lt;esdo ews="" ece="" ptn="" /&gt;&lt;/excel&gt;&lt;pgs&gt;&lt;pg rows="27" cols="16" nrr="1845" nrc="1428"&gt;&lt;pg /&gt;&lt;bls&gt;&lt;bl sr="1" sc="1" rfetch="27" cfetch="16" posid="1" darows="0" dacols="1"&gt;&lt;excel&gt;&lt;epo ews="Dat_01" ece="A85" enr="MSTR.Serie_Balance_B.C._Mensual_Baleares_y_Canarias" ptn="" qtn="" rows="30" cols="18" /&gt;&lt;esdo ews="" ece="" ptn="" /&gt;&lt;/excel&gt;&lt;gridRng&gt;&lt;sect id="TITLE_AREA" rngprop="1:1:3:2" /&gt;&lt;sect id="ROWHEADERS_AREA" rngprop="4:1:27:2" /&gt;&lt;sect id="COLUMNHEADERS_AREA" rngprop="1:3:3:16" /&gt;&lt;sect id="DATA_AREA" rngprop="4:3:27:16"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</si>
  <si>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ut="04/13/2023 08:27:18" si="2.0000000151fab68e733af576eceb5a91917c5de61d67496fc52ce3cc13a9750d2ac6be82a2f6a9d768e78685e3f28f2a967b4d8928e4f956ebbe20f16f6135a1b51d06a83d7ac61203d3041a295e4ec1bed8b5f02869d6763edae82af2ab170d57cb52f4b802dc906da07c8bb61594259cb46fc23f3bb6534eb412e40e2de5141df145f53c047d1842bf4725ae966204bf972ad9cc3b5a1169f012e49e783116c251.p.3082.0.1.Europe/Madrid.upriv*_1*_pidn2*_40*_session*-lat*_1.00000001e7563a0c42d865a7a1d4eb36e8117533bc6025e0ada8e062a5d1b7d8e3e7d30cb9bfb4bae8c2d284768115f1ae050b0412ebad90.00000001e2191e44cbcdad0230b117a0226a69c5bc6025e0310309bc466a31b4fc763181d3ee5f916dcf3c711a0aadee64a9f9dbec62e21d.0.1.1.BDEbi.D066E1C611E6257C10D00080EF253B44.0-3082.1.1_-0.1.0_-3082.1.1_5.5.0.*0.00000001b6544d74e31de806b83c464ee89cea0dc911585a5c1d3c991fe65003faa4b1e36df0e1b4.0.23.11*.2*.0400*.31152J.e.000000011124e8510ad51980f755b8aa0d08f087c911585a715dec192cdcdc71d2b6c386e50a480a.0.10*.131*.122*.122.0.0" msgID="F90316E011EDD9D4CD200080EFE53E3B"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nrr="102" nrc="660"&gt;&lt;pg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</si>
  <si>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05aaa140a9e04f8a85f34ff6ddae5190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</si>
  <si>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ut="04/13/2023 08:27:40" si="2.0000000151fab68e733af576eceb5a91917c5de61d67496fc52ce3cc13a9750d2ac6be82a2f6a9d768e78685e3f28f2a967b4d8928e4f956ebbe20f16f6135a1b51d06a83d7ac61203d3041a295e4ec1bed8b5f02869d6763edae82af2ab170d57cb52f4b802dc906da07c8bb61594259cb46fc23f3bb6534eb412e40e2de5141df145f53c047d1842bf4725ae966204bf972ad9cc3b5a1169f012e49e783116c251.p.3082.0.1.Europe/Madrid.upriv*_1*_pidn2*_40*_session*-lat*_1.00000001e7563a0c42d865a7a1d4eb36e8117533bc6025e0ada8e062a5d1b7d8e3e7d30cb9bfb4bae8c2d284768115f1ae050b0412ebad90.00000001e2191e44cbcdad0230b117a0226a69c5bc6025e0310309bc466a31b4fc763181d3ee5f916dcf3c711a0aadee64a9f9dbec62e21d.0.1.1.BDEbi.D066E1C611E6257C10D00080EF253B44.0-3082.1.1_-0.1.0_-3082.1.1_5.5.0.*0.00000001b6544d74e31de806b83c464ee89cea0dc911585a5c1d3c991fe65003faa4b1e36df0e1b4.0.23.11*.2*.0400*.31152J.e.000000011124e8510ad51980f755b8aa0d08f087c911585a715dec192cdcdc71d2b6c386e50a480a.0.10*.131*.122*.122.0.0" msgID="0814571611EDD9D5CD200080EFB5DC39"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nrr="57" nrc="696"&gt;&lt;pg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</si>
</sst>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16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934959349593483"/>
                  <c:y val="-8.0691732283464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-3.2222244094488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8279418731195175"/>
                  <c:y val="3.0680118110236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6565802445426034"/>
                  <c:y val="-0.13699822448664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1.5061426216773213</c:v>
                </c:pt>
                <c:pt idx="2">
                  <c:v>8.3629298420098621</c:v>
                </c:pt>
                <c:pt idx="3">
                  <c:v>56.494629235937147</c:v>
                </c:pt>
                <c:pt idx="4">
                  <c:v>0</c:v>
                </c:pt>
                <c:pt idx="5">
                  <c:v>0.86833969516528242</c:v>
                </c:pt>
                <c:pt idx="6">
                  <c:v>2.3340317294792823</c:v>
                </c:pt>
                <c:pt idx="7">
                  <c:v>2.3340317294792823</c:v>
                </c:pt>
                <c:pt idx="8">
                  <c:v>4.851929677092686E-2</c:v>
                </c:pt>
                <c:pt idx="9">
                  <c:v>8.1189619342589765</c:v>
                </c:pt>
                <c:pt idx="10">
                  <c:v>2.7197929532065162E-2</c:v>
                </c:pt>
                <c:pt idx="11">
                  <c:v>19.905215985689885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11.331842088910642</c:v>
                </c:pt>
                <c:pt idx="1">
                  <c:v>6.5491657843869966</c:v>
                </c:pt>
                <c:pt idx="2">
                  <c:v>28.33430333259539</c:v>
                </c:pt>
                <c:pt idx="3">
                  <c:v>38.660749813285932</c:v>
                </c:pt>
                <c:pt idx="4">
                  <c:v>0</c:v>
                </c:pt>
                <c:pt idx="5">
                  <c:v>0.54136325203365399</c:v>
                </c:pt>
                <c:pt idx="6">
                  <c:v>1.7570932592257795</c:v>
                </c:pt>
                <c:pt idx="7">
                  <c:v>1.7570932592257795</c:v>
                </c:pt>
                <c:pt idx="8">
                  <c:v>0.16948432975018715</c:v>
                </c:pt>
                <c:pt idx="9">
                  <c:v>10.798835130795496</c:v>
                </c:pt>
                <c:pt idx="10">
                  <c:v>0.10006974979013129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-0.66887300000000005</c:v>
                </c:pt>
                <c:pt idx="1">
                  <c:v>-0.60548299999999999</c:v>
                </c:pt>
                <c:pt idx="2">
                  <c:v>-1.0302370000000001</c:v>
                </c:pt>
                <c:pt idx="3">
                  <c:v>29.141857000000002</c:v>
                </c:pt>
                <c:pt idx="4">
                  <c:v>50.189168000000002</c:v>
                </c:pt>
                <c:pt idx="5">
                  <c:v>5.2653150000000002</c:v>
                </c:pt>
                <c:pt idx="6">
                  <c:v>-0.60380599999999995</c:v>
                </c:pt>
                <c:pt idx="7">
                  <c:v>-0.613232</c:v>
                </c:pt>
                <c:pt idx="8">
                  <c:v>-0.58811800000000003</c:v>
                </c:pt>
                <c:pt idx="9">
                  <c:v>-0.62679200000000002</c:v>
                </c:pt>
                <c:pt idx="10">
                  <c:v>-0.72771799999999998</c:v>
                </c:pt>
                <c:pt idx="11">
                  <c:v>-0.70697299999999996</c:v>
                </c:pt>
                <c:pt idx="12">
                  <c:v>-0.51834000000000002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43.217820000000003</c:v>
                </c:pt>
                <c:pt idx="1">
                  <c:v>55.506872999999999</c:v>
                </c:pt>
                <c:pt idx="2">
                  <c:v>70.042819000000009</c:v>
                </c:pt>
                <c:pt idx="3">
                  <c:v>85.898263999999998</c:v>
                </c:pt>
                <c:pt idx="4">
                  <c:v>121.496702</c:v>
                </c:pt>
                <c:pt idx="5">
                  <c:v>132.46422999999999</c:v>
                </c:pt>
                <c:pt idx="6">
                  <c:v>93.246324000000001</c:v>
                </c:pt>
                <c:pt idx="7">
                  <c:v>60.668753000000002</c:v>
                </c:pt>
                <c:pt idx="8">
                  <c:v>32.393524999999997</c:v>
                </c:pt>
                <c:pt idx="9">
                  <c:v>28.980339000000001</c:v>
                </c:pt>
                <c:pt idx="10">
                  <c:v>54.403029000000004</c:v>
                </c:pt>
                <c:pt idx="11">
                  <c:v>47.337153999999998</c:v>
                </c:pt>
                <c:pt idx="12">
                  <c:v>40.752212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331.00133499999998</c:v>
                </c:pt>
                <c:pt idx="1">
                  <c:v>307.42903200000001</c:v>
                </c:pt>
                <c:pt idx="2">
                  <c:v>317.55595499999998</c:v>
                </c:pt>
                <c:pt idx="3">
                  <c:v>367.58788099999998</c:v>
                </c:pt>
                <c:pt idx="4">
                  <c:v>396.959791</c:v>
                </c:pt>
                <c:pt idx="5">
                  <c:v>456.377207</c:v>
                </c:pt>
                <c:pt idx="6">
                  <c:v>377.07382699999999</c:v>
                </c:pt>
                <c:pt idx="7">
                  <c:v>297.32130999999998</c:v>
                </c:pt>
                <c:pt idx="8">
                  <c:v>234.47985499999999</c:v>
                </c:pt>
                <c:pt idx="9">
                  <c:v>251.18496099999999</c:v>
                </c:pt>
                <c:pt idx="10">
                  <c:v>236.33414099999999</c:v>
                </c:pt>
                <c:pt idx="11">
                  <c:v>250.50749099999999</c:v>
                </c:pt>
                <c:pt idx="12">
                  <c:v>233.28242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0.33845999999999998</c:v>
                </c:pt>
                <c:pt idx="1">
                  <c:v>0.239788</c:v>
                </c:pt>
                <c:pt idx="2">
                  <c:v>0.16079099999999999</c:v>
                </c:pt>
                <c:pt idx="3">
                  <c:v>6.1122000000000003E-2</c:v>
                </c:pt>
                <c:pt idx="4">
                  <c:v>3.0289E-2</c:v>
                </c:pt>
                <c:pt idx="5">
                  <c:v>3.2219999999999999E-2</c:v>
                </c:pt>
                <c:pt idx="6">
                  <c:v>1.2760000000000001E-2</c:v>
                </c:pt>
                <c:pt idx="7">
                  <c:v>2.8530000000000001E-3</c:v>
                </c:pt>
                <c:pt idx="8">
                  <c:v>2.5883E-2</c:v>
                </c:pt>
                <c:pt idx="9">
                  <c:v>0.100989</c:v>
                </c:pt>
                <c:pt idx="10">
                  <c:v>0.21573000000000001</c:v>
                </c:pt>
                <c:pt idx="11">
                  <c:v>0.18323999999999999</c:v>
                </c:pt>
                <c:pt idx="12">
                  <c:v>0.20035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13.718277</c:v>
                </c:pt>
                <c:pt idx="1">
                  <c:v>22.443795999999999</c:v>
                </c:pt>
                <c:pt idx="2">
                  <c:v>27.347473999999998</c:v>
                </c:pt>
                <c:pt idx="3">
                  <c:v>29.225943999999998</c:v>
                </c:pt>
                <c:pt idx="4">
                  <c:v>33.049954</c:v>
                </c:pt>
                <c:pt idx="5">
                  <c:v>29.653044000000001</c:v>
                </c:pt>
                <c:pt idx="6">
                  <c:v>25.055993000000001</c:v>
                </c:pt>
                <c:pt idx="7">
                  <c:v>23.236149000000001</c:v>
                </c:pt>
                <c:pt idx="8">
                  <c:v>17.029163</c:v>
                </c:pt>
                <c:pt idx="9">
                  <c:v>14.799557</c:v>
                </c:pt>
                <c:pt idx="10">
                  <c:v>18.141887000000001</c:v>
                </c:pt>
                <c:pt idx="11">
                  <c:v>21.622358999999999</c:v>
                </c:pt>
                <c:pt idx="12">
                  <c:v>33.525506999999998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0.29118100000000002</c:v>
                </c:pt>
                <c:pt idx="1">
                  <c:v>0.16531499999999999</c:v>
                </c:pt>
                <c:pt idx="2">
                  <c:v>0.166327</c:v>
                </c:pt>
                <c:pt idx="3">
                  <c:v>0.111179</c:v>
                </c:pt>
                <c:pt idx="4">
                  <c:v>9.5128000000000004E-2</c:v>
                </c:pt>
                <c:pt idx="5">
                  <c:v>5.6752999999999998E-2</c:v>
                </c:pt>
                <c:pt idx="6">
                  <c:v>7.1822999999999998E-2</c:v>
                </c:pt>
                <c:pt idx="7">
                  <c:v>9.6991999999999995E-2</c:v>
                </c:pt>
                <c:pt idx="8">
                  <c:v>8.4503999999999996E-2</c:v>
                </c:pt>
                <c:pt idx="9">
                  <c:v>7.7099000000000001E-2</c:v>
                </c:pt>
                <c:pt idx="10">
                  <c:v>9.3608999999999998E-2</c:v>
                </c:pt>
                <c:pt idx="11">
                  <c:v>0.13599800000000001</c:v>
                </c:pt>
                <c:pt idx="12">
                  <c:v>0.11230800000000001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3.993204</c:v>
                </c:pt>
                <c:pt idx="1">
                  <c:v>1.8386769999999999</c:v>
                </c:pt>
                <c:pt idx="2">
                  <c:v>1.9461250000000001</c:v>
                </c:pt>
                <c:pt idx="3">
                  <c:v>1.5363420000000001</c:v>
                </c:pt>
                <c:pt idx="4">
                  <c:v>1.1719729999999999</c:v>
                </c:pt>
                <c:pt idx="5">
                  <c:v>5.1333999999999998E-2</c:v>
                </c:pt>
                <c:pt idx="6">
                  <c:v>2.0373130000000002</c:v>
                </c:pt>
                <c:pt idx="7">
                  <c:v>1.826864</c:v>
                </c:pt>
                <c:pt idx="8">
                  <c:v>2.5541079999999998</c:v>
                </c:pt>
                <c:pt idx="9">
                  <c:v>2.6199620000000001</c:v>
                </c:pt>
                <c:pt idx="10">
                  <c:v>3.055609</c:v>
                </c:pt>
                <c:pt idx="11">
                  <c:v>3.0516040000000002</c:v>
                </c:pt>
                <c:pt idx="12">
                  <c:v>3.5856219999999999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9.6633200000000006</c:v>
                </c:pt>
                <c:pt idx="1">
                  <c:v>7.8050050000000004</c:v>
                </c:pt>
                <c:pt idx="2">
                  <c:v>11.846197500000001</c:v>
                </c:pt>
                <c:pt idx="3">
                  <c:v>13.186323</c:v>
                </c:pt>
                <c:pt idx="4">
                  <c:v>16.1606655</c:v>
                </c:pt>
                <c:pt idx="5">
                  <c:v>13.6723105</c:v>
                </c:pt>
                <c:pt idx="6">
                  <c:v>13.5816645</c:v>
                </c:pt>
                <c:pt idx="7">
                  <c:v>11.230755</c:v>
                </c:pt>
                <c:pt idx="8">
                  <c:v>10.188828000000001</c:v>
                </c:pt>
                <c:pt idx="9">
                  <c:v>10.4136255</c:v>
                </c:pt>
                <c:pt idx="10">
                  <c:v>7.3618245</c:v>
                </c:pt>
                <c:pt idx="11">
                  <c:v>9.8298860000000001</c:v>
                </c:pt>
                <c:pt idx="12">
                  <c:v>9.6378819999999994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9.6633200000000006</c:v>
                </c:pt>
                <c:pt idx="1">
                  <c:v>7.8050050000000004</c:v>
                </c:pt>
                <c:pt idx="2">
                  <c:v>11.846197500000001</c:v>
                </c:pt>
                <c:pt idx="3">
                  <c:v>13.186323</c:v>
                </c:pt>
                <c:pt idx="4">
                  <c:v>16.1606655</c:v>
                </c:pt>
                <c:pt idx="5">
                  <c:v>13.6723105</c:v>
                </c:pt>
                <c:pt idx="6">
                  <c:v>13.5816645</c:v>
                </c:pt>
                <c:pt idx="7">
                  <c:v>11.230755</c:v>
                </c:pt>
                <c:pt idx="8">
                  <c:v>10.188828000000001</c:v>
                </c:pt>
                <c:pt idx="9">
                  <c:v>10.4136255</c:v>
                </c:pt>
                <c:pt idx="10">
                  <c:v>7.3618245</c:v>
                </c:pt>
                <c:pt idx="11">
                  <c:v>9.8298860000000001</c:v>
                </c:pt>
                <c:pt idx="12">
                  <c:v>9.6378819999999994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30.689281000000001</c:v>
                </c:pt>
                <c:pt idx="1">
                  <c:v>33.641058999999998</c:v>
                </c:pt>
                <c:pt idx="2">
                  <c:v>32.047055999999998</c:v>
                </c:pt>
                <c:pt idx="3">
                  <c:v>35.225064000000003</c:v>
                </c:pt>
                <c:pt idx="4">
                  <c:v>67.033137999999994</c:v>
                </c:pt>
                <c:pt idx="5">
                  <c:v>77.653036</c:v>
                </c:pt>
                <c:pt idx="6">
                  <c:v>70.647335999999996</c:v>
                </c:pt>
                <c:pt idx="7">
                  <c:v>61.365385000000003</c:v>
                </c:pt>
                <c:pt idx="8">
                  <c:v>55.991686000000001</c:v>
                </c:pt>
                <c:pt idx="9">
                  <c:v>79.778822000000005</c:v>
                </c:pt>
                <c:pt idx="10">
                  <c:v>123.950131</c:v>
                </c:pt>
                <c:pt idx="11">
                  <c:v>89.734262000000001</c:v>
                </c:pt>
                <c:pt idx="12">
                  <c:v>82.194308000000007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15.167434877824117</c:v>
                </c:pt>
                <c:pt idx="1">
                  <c:v>16.197280191589922</c:v>
                </c:pt>
                <c:pt idx="2">
                  <c:v>15.011916104981198</c:v>
                </c:pt>
                <c:pt idx="3">
                  <c:v>26.917189203652271</c:v>
                </c:pt>
                <c:pt idx="4">
                  <c:v>1.1881634245198944</c:v>
                </c:pt>
                <c:pt idx="5">
                  <c:v>4.7277706944247114E-2</c:v>
                </c:pt>
                <c:pt idx="6">
                  <c:v>0.35209450171636664</c:v>
                </c:pt>
                <c:pt idx="7">
                  <c:v>18.404558134549458</c:v>
                </c:pt>
                <c:pt idx="8">
                  <c:v>6.5991263773370434</c:v>
                </c:pt>
                <c:pt idx="9">
                  <c:v>0.11495947688548508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9837398373983739"/>
                  <c:y val="-3.082599969121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0.106711826462868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25365840855258948"/>
                  <c:y val="-0.10784294426431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19.87415913353081</c:v>
                </c:pt>
                <c:pt idx="1">
                  <c:v>2.3639793569857761</c:v>
                </c:pt>
                <c:pt idx="2">
                  <c:v>14.577677660745142</c:v>
                </c:pt>
                <c:pt idx="3">
                  <c:v>40.048334634589452</c:v>
                </c:pt>
                <c:pt idx="4">
                  <c:v>0</c:v>
                </c:pt>
                <c:pt idx="5">
                  <c:v>4.0807813009580501E-2</c:v>
                </c:pt>
                <c:pt idx="6">
                  <c:v>0.22109147315381028</c:v>
                </c:pt>
                <c:pt idx="7">
                  <c:v>18.272646541063487</c:v>
                </c:pt>
                <c:pt idx="8">
                  <c:v>4.4974777304837001</c:v>
                </c:pt>
                <c:pt idx="9">
                  <c:v>0.10382565643823588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0.29644599999999999</c:v>
                </c:pt>
                <c:pt idx="1">
                  <c:v>0.27407199999999998</c:v>
                </c:pt>
                <c:pt idx="2">
                  <c:v>0.29880499999999999</c:v>
                </c:pt>
                <c:pt idx="3">
                  <c:v>0.28138299999999999</c:v>
                </c:pt>
                <c:pt idx="4">
                  <c:v>0.29436099999999998</c:v>
                </c:pt>
                <c:pt idx="5">
                  <c:v>0.29274699999999998</c:v>
                </c:pt>
                <c:pt idx="6">
                  <c:v>0.28892499999999999</c:v>
                </c:pt>
                <c:pt idx="7">
                  <c:v>0.29362700000000003</c:v>
                </c:pt>
                <c:pt idx="8">
                  <c:v>0.27748800000000001</c:v>
                </c:pt>
                <c:pt idx="9">
                  <c:v>0.28889599999999999</c:v>
                </c:pt>
                <c:pt idx="10">
                  <c:v>0.27497500000000002</c:v>
                </c:pt>
                <c:pt idx="11">
                  <c:v>0.25442500000000001</c:v>
                </c:pt>
                <c:pt idx="12">
                  <c:v>0.29023300000000002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285.51521100000002</c:v>
                </c:pt>
                <c:pt idx="1">
                  <c:v>258.29193100000003</c:v>
                </c:pt>
                <c:pt idx="2">
                  <c:v>244.42555600000003</c:v>
                </c:pt>
                <c:pt idx="3">
                  <c:v>215.54716999999999</c:v>
                </c:pt>
                <c:pt idx="4">
                  <c:v>238.316866</c:v>
                </c:pt>
                <c:pt idx="5">
                  <c:v>264.80307199999999</c:v>
                </c:pt>
                <c:pt idx="6">
                  <c:v>286.04636799999997</c:v>
                </c:pt>
                <c:pt idx="7">
                  <c:v>308.95148699999999</c:v>
                </c:pt>
                <c:pt idx="8">
                  <c:v>271.88263999999998</c:v>
                </c:pt>
                <c:pt idx="9">
                  <c:v>312.87707</c:v>
                </c:pt>
                <c:pt idx="10">
                  <c:v>282.44370800000002</c:v>
                </c:pt>
                <c:pt idx="11">
                  <c:v>296.204272</c:v>
                </c:pt>
                <c:pt idx="12">
                  <c:v>261.84115199999997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288.52109999999999</c:v>
                </c:pt>
                <c:pt idx="1">
                  <c:v>265.37271800000002</c:v>
                </c:pt>
                <c:pt idx="2">
                  <c:v>303.45663500000001</c:v>
                </c:pt>
                <c:pt idx="3">
                  <c:v>283.58392400000002</c:v>
                </c:pt>
                <c:pt idx="4">
                  <c:v>295.51749599999999</c:v>
                </c:pt>
                <c:pt idx="5">
                  <c:v>269.79137200000002</c:v>
                </c:pt>
                <c:pt idx="6">
                  <c:v>285.29845599999999</c:v>
                </c:pt>
                <c:pt idx="7">
                  <c:v>305.38632699999999</c:v>
                </c:pt>
                <c:pt idx="8">
                  <c:v>309.74341800000002</c:v>
                </c:pt>
                <c:pt idx="9">
                  <c:v>347.66188299999999</c:v>
                </c:pt>
                <c:pt idx="10">
                  <c:v>279.418815</c:v>
                </c:pt>
                <c:pt idx="11">
                  <c:v>289.33312999999998</c:v>
                </c:pt>
                <c:pt idx="12">
                  <c:v>284.83144399999998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2.1263230000000002</c:v>
                </c:pt>
                <c:pt idx="1">
                  <c:v>1.7525280000000001</c:v>
                </c:pt>
                <c:pt idx="2">
                  <c:v>1.9171739999999999</c:v>
                </c:pt>
                <c:pt idx="3">
                  <c:v>2.44956</c:v>
                </c:pt>
                <c:pt idx="4">
                  <c:v>3.5629430000000002</c:v>
                </c:pt>
                <c:pt idx="5">
                  <c:v>3.5176750000000001</c:v>
                </c:pt>
                <c:pt idx="6">
                  <c:v>2.0750950000000001</c:v>
                </c:pt>
                <c:pt idx="7">
                  <c:v>1.3500719999999999</c:v>
                </c:pt>
                <c:pt idx="8">
                  <c:v>1.1694089999999999</c:v>
                </c:pt>
                <c:pt idx="9">
                  <c:v>0.36710399999999999</c:v>
                </c:pt>
                <c:pt idx="10">
                  <c:v>1.6495040000000001</c:v>
                </c:pt>
                <c:pt idx="11">
                  <c:v>0.82934099999999999</c:v>
                </c:pt>
                <c:pt idx="12">
                  <c:v>1.5724450000000001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109.414616</c:v>
                </c:pt>
                <c:pt idx="1">
                  <c:v>120.73900500000001</c:v>
                </c:pt>
                <c:pt idx="2">
                  <c:v>116.77421</c:v>
                </c:pt>
                <c:pt idx="3">
                  <c:v>159.50470799999999</c:v>
                </c:pt>
                <c:pt idx="4">
                  <c:v>180.96485300000001</c:v>
                </c:pt>
                <c:pt idx="5">
                  <c:v>183.70770899999999</c:v>
                </c:pt>
                <c:pt idx="6">
                  <c:v>123.26133799999999</c:v>
                </c:pt>
                <c:pt idx="7">
                  <c:v>85.114315000000005</c:v>
                </c:pt>
                <c:pt idx="8">
                  <c:v>102.415227</c:v>
                </c:pt>
                <c:pt idx="9">
                  <c:v>37.762255000000003</c:v>
                </c:pt>
                <c:pt idx="10">
                  <c:v>131.99994699999999</c:v>
                </c:pt>
                <c:pt idx="11">
                  <c:v>42.280110000000001</c:v>
                </c:pt>
                <c:pt idx="12">
                  <c:v>129.95857000000001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25.047723999999999</c:v>
                </c:pt>
                <c:pt idx="1">
                  <c:v>26.389223999999999</c:v>
                </c:pt>
                <c:pt idx="2">
                  <c:v>32.969079000000001</c:v>
                </c:pt>
                <c:pt idx="3">
                  <c:v>30.72391</c:v>
                </c:pt>
                <c:pt idx="4">
                  <c:v>34.258988000000002</c:v>
                </c:pt>
                <c:pt idx="5">
                  <c:v>32.216773000000003</c:v>
                </c:pt>
                <c:pt idx="6">
                  <c:v>26.500267000000001</c:v>
                </c:pt>
                <c:pt idx="7">
                  <c:v>26.61814</c:v>
                </c:pt>
                <c:pt idx="8">
                  <c:v>23.099277000000001</c:v>
                </c:pt>
                <c:pt idx="9">
                  <c:v>18.862687999999999</c:v>
                </c:pt>
                <c:pt idx="10">
                  <c:v>22.058796999999998</c:v>
                </c:pt>
                <c:pt idx="11">
                  <c:v>20.025044999999999</c:v>
                </c:pt>
                <c:pt idx="12">
                  <c:v>31.986924999999999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mar.-22</c:v>
                </c:pt>
                <c:pt idx="1">
                  <c:v>abr.-22</c:v>
                </c:pt>
                <c:pt idx="2">
                  <c:v>may.-22</c:v>
                </c:pt>
                <c:pt idx="3">
                  <c:v>jun.-22</c:v>
                </c:pt>
                <c:pt idx="4">
                  <c:v>jul.-22</c:v>
                </c:pt>
                <c:pt idx="5">
                  <c:v>ago.-22</c:v>
                </c:pt>
                <c:pt idx="6">
                  <c:v>sep.-22</c:v>
                </c:pt>
                <c:pt idx="7">
                  <c:v>oct.-22</c:v>
                </c:pt>
                <c:pt idx="8">
                  <c:v>nov.-22</c:v>
                </c:pt>
                <c:pt idx="9">
                  <c:v>dic.-22</c:v>
                </c:pt>
                <c:pt idx="10">
                  <c:v>ene.-23</c:v>
                </c:pt>
                <c:pt idx="11">
                  <c:v>feb.-23</c:v>
                </c:pt>
                <c:pt idx="12">
                  <c:v>mar.-23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0.90984399999999999</c:v>
                </c:pt>
                <c:pt idx="1">
                  <c:v>0.61352399999999996</c:v>
                </c:pt>
                <c:pt idx="2">
                  <c:v>0.72146399999999999</c:v>
                </c:pt>
                <c:pt idx="3">
                  <c:v>0.696106</c:v>
                </c:pt>
                <c:pt idx="4">
                  <c:v>0.688222</c:v>
                </c:pt>
                <c:pt idx="5">
                  <c:v>0.71531400000000001</c:v>
                </c:pt>
                <c:pt idx="6">
                  <c:v>0.714812</c:v>
                </c:pt>
                <c:pt idx="7">
                  <c:v>0.73132799999999998</c:v>
                </c:pt>
                <c:pt idx="8">
                  <c:v>0.76498500000000003</c:v>
                </c:pt>
                <c:pt idx="9">
                  <c:v>0.78453200000000001</c:v>
                </c:pt>
                <c:pt idx="10">
                  <c:v>0.78413299999999997</c:v>
                </c:pt>
                <c:pt idx="11">
                  <c:v>0.71108700000000002</c:v>
                </c:pt>
                <c:pt idx="12">
                  <c:v>0.73842799999999997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Marzo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40" zoomScaleNormal="100" workbookViewId="0">
      <selection activeCell="D68" sqref="D68:D78"/>
    </sheetView>
  </sheetViews>
  <sheetFormatPr baseColWidth="10" defaultColWidth="11.42578125" defaultRowHeight="12"/>
  <cols>
    <col min="1" max="1" width="9.140625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120</v>
      </c>
      <c r="B2" s="133" t="s">
        <v>121</v>
      </c>
    </row>
    <row r="4" spans="1:33" ht="15">
      <c r="A4" s="134" t="s">
        <v>67</v>
      </c>
      <c r="B4" s="197" t="s">
        <v>120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</row>
    <row r="5" spans="1:33" ht="15">
      <c r="A5" s="134" t="s">
        <v>68</v>
      </c>
      <c r="B5" s="213" t="s">
        <v>15</v>
      </c>
      <c r="C5" s="214"/>
      <c r="D5" s="214"/>
      <c r="E5" s="214"/>
      <c r="F5" s="214"/>
      <c r="G5" s="214"/>
      <c r="H5" s="214"/>
      <c r="I5" s="215"/>
      <c r="J5" s="213" t="s">
        <v>14</v>
      </c>
      <c r="K5" s="214"/>
      <c r="L5" s="214"/>
      <c r="M5" s="214"/>
      <c r="N5" s="214"/>
      <c r="O5" s="214"/>
      <c r="P5" s="214"/>
      <c r="Q5" s="215"/>
      <c r="R5" s="213" t="s">
        <v>57</v>
      </c>
      <c r="S5" s="214"/>
      <c r="T5" s="214"/>
      <c r="U5" s="214"/>
      <c r="V5" s="214"/>
      <c r="W5" s="214"/>
      <c r="X5" s="214"/>
      <c r="Y5" s="215"/>
      <c r="Z5" s="213" t="s">
        <v>58</v>
      </c>
      <c r="AA5" s="214"/>
      <c r="AB5" s="214"/>
      <c r="AC5" s="214"/>
      <c r="AD5" s="214"/>
      <c r="AE5" s="214"/>
      <c r="AF5" s="214"/>
      <c r="AG5" s="214"/>
    </row>
    <row r="6" spans="1:33">
      <c r="A6" s="134" t="s">
        <v>69</v>
      </c>
      <c r="B6" s="180" t="s">
        <v>59</v>
      </c>
      <c r="C6" s="180" t="s">
        <v>60</v>
      </c>
      <c r="D6" s="180" t="s">
        <v>61</v>
      </c>
      <c r="E6" s="180" t="s">
        <v>62</v>
      </c>
      <c r="F6" s="180" t="s">
        <v>63</v>
      </c>
      <c r="G6" s="180" t="s">
        <v>64</v>
      </c>
      <c r="H6" s="180" t="s">
        <v>65</v>
      </c>
      <c r="I6" s="180" t="s">
        <v>66</v>
      </c>
      <c r="J6" s="180" t="s">
        <v>59</v>
      </c>
      <c r="K6" s="180" t="s">
        <v>60</v>
      </c>
      <c r="L6" s="180" t="s">
        <v>61</v>
      </c>
      <c r="M6" s="180" t="s">
        <v>62</v>
      </c>
      <c r="N6" s="180" t="s">
        <v>63</v>
      </c>
      <c r="O6" s="180" t="s">
        <v>64</v>
      </c>
      <c r="P6" s="180" t="s">
        <v>65</v>
      </c>
      <c r="Q6" s="180" t="s">
        <v>66</v>
      </c>
      <c r="R6" s="180" t="s">
        <v>59</v>
      </c>
      <c r="S6" s="180" t="s">
        <v>60</v>
      </c>
      <c r="T6" s="180" t="s">
        <v>61</v>
      </c>
      <c r="U6" s="180" t="s">
        <v>62</v>
      </c>
      <c r="V6" s="180" t="s">
        <v>63</v>
      </c>
      <c r="W6" s="180" t="s">
        <v>64</v>
      </c>
      <c r="X6" s="180" t="s">
        <v>65</v>
      </c>
      <c r="Y6" s="180" t="s">
        <v>66</v>
      </c>
      <c r="Z6" s="180" t="s">
        <v>59</v>
      </c>
      <c r="AA6" s="180" t="s">
        <v>60</v>
      </c>
      <c r="AB6" s="180" t="s">
        <v>61</v>
      </c>
      <c r="AC6" s="180" t="s">
        <v>62</v>
      </c>
      <c r="AD6" s="180" t="s">
        <v>63</v>
      </c>
      <c r="AE6" s="180" t="s">
        <v>64</v>
      </c>
      <c r="AF6" s="180" t="s">
        <v>65</v>
      </c>
      <c r="AG6" s="180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1">
        <v>0</v>
      </c>
      <c r="C8" s="171">
        <v>0</v>
      </c>
      <c r="D8" s="172">
        <v>0</v>
      </c>
      <c r="E8" s="171">
        <v>0</v>
      </c>
      <c r="F8" s="171">
        <v>0</v>
      </c>
      <c r="G8" s="172">
        <v>0</v>
      </c>
      <c r="H8" s="171">
        <v>0</v>
      </c>
      <c r="I8" s="172">
        <v>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2">
        <v>0</v>
      </c>
      <c r="P8" s="171">
        <v>0</v>
      </c>
      <c r="Q8" s="172">
        <v>0</v>
      </c>
      <c r="R8" s="171">
        <v>0</v>
      </c>
      <c r="S8" s="171">
        <v>0</v>
      </c>
      <c r="T8" s="172">
        <v>0</v>
      </c>
      <c r="U8" s="171">
        <v>0</v>
      </c>
      <c r="V8" s="171">
        <v>0</v>
      </c>
      <c r="W8" s="172">
        <v>0</v>
      </c>
      <c r="X8" s="171">
        <v>0</v>
      </c>
      <c r="Y8" s="172">
        <v>0</v>
      </c>
      <c r="Z8" s="171">
        <v>290.233</v>
      </c>
      <c r="AA8" s="171">
        <v>296.44600000000003</v>
      </c>
      <c r="AB8" s="172">
        <v>-2.09582858E-2</v>
      </c>
      <c r="AC8" s="171">
        <v>819.63300000000004</v>
      </c>
      <c r="AD8" s="171">
        <v>841.24099999999999</v>
      </c>
      <c r="AE8" s="172">
        <v>-2.56858617E-2</v>
      </c>
      <c r="AF8" s="171">
        <v>3409.9369999999999</v>
      </c>
      <c r="AG8" s="172">
        <v>0.1194472258</v>
      </c>
    </row>
    <row r="9" spans="1:33">
      <c r="A9" s="133" t="s">
        <v>11</v>
      </c>
      <c r="B9" s="171">
        <v>0</v>
      </c>
      <c r="C9" s="171">
        <v>0</v>
      </c>
      <c r="D9" s="172">
        <v>0</v>
      </c>
      <c r="E9" s="171">
        <v>0</v>
      </c>
      <c r="F9" s="171">
        <v>0</v>
      </c>
      <c r="G9" s="172">
        <v>0</v>
      </c>
      <c r="H9" s="171">
        <v>0</v>
      </c>
      <c r="I9" s="172">
        <v>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2">
        <v>0</v>
      </c>
      <c r="P9" s="171">
        <v>0</v>
      </c>
      <c r="Q9" s="172">
        <v>0</v>
      </c>
      <c r="R9" s="171">
        <v>-518.34</v>
      </c>
      <c r="S9" s="171">
        <v>-668.87300000000005</v>
      </c>
      <c r="T9" s="172">
        <v>-0.22505468149999999</v>
      </c>
      <c r="U9" s="171">
        <v>-1953.0309999999999</v>
      </c>
      <c r="V9" s="171">
        <v>-1876.4670000000001</v>
      </c>
      <c r="W9" s="172">
        <v>4.0802209700000001E-2</v>
      </c>
      <c r="X9" s="171">
        <v>78575.641000000003</v>
      </c>
      <c r="Y9" s="172">
        <v>0.7611310926</v>
      </c>
      <c r="Z9" s="171">
        <v>0</v>
      </c>
      <c r="AA9" s="171">
        <v>0</v>
      </c>
      <c r="AB9" s="172">
        <v>0</v>
      </c>
      <c r="AC9" s="171">
        <v>0</v>
      </c>
      <c r="AD9" s="171">
        <v>0</v>
      </c>
      <c r="AE9" s="172">
        <v>0</v>
      </c>
      <c r="AF9" s="171">
        <v>0</v>
      </c>
      <c r="AG9" s="172">
        <v>0</v>
      </c>
    </row>
    <row r="10" spans="1:33">
      <c r="A10" s="133" t="s">
        <v>78</v>
      </c>
      <c r="B10" s="171">
        <v>15377.986999999999</v>
      </c>
      <c r="C10" s="171">
        <v>17073.170999999998</v>
      </c>
      <c r="D10" s="172">
        <v>-9.9289347E-2</v>
      </c>
      <c r="E10" s="171">
        <v>47705.849000000002</v>
      </c>
      <c r="F10" s="171">
        <v>49576.514999999999</v>
      </c>
      <c r="G10" s="172">
        <v>-3.7732906400000002E-2</v>
      </c>
      <c r="H10" s="171">
        <v>193050.11499999999</v>
      </c>
      <c r="I10" s="172">
        <v>-2.0905915800000001E-2</v>
      </c>
      <c r="J10" s="171">
        <v>14303.305</v>
      </c>
      <c r="K10" s="171">
        <v>14914.04</v>
      </c>
      <c r="L10" s="172">
        <v>-4.0950339400000001E-2</v>
      </c>
      <c r="M10" s="171">
        <v>43630.661</v>
      </c>
      <c r="N10" s="171">
        <v>44639.533000000003</v>
      </c>
      <c r="O10" s="172">
        <v>-2.26004156E-2</v>
      </c>
      <c r="P10" s="171">
        <v>183564.883</v>
      </c>
      <c r="Q10" s="172">
        <v>-4.1337151599999997E-2</v>
      </c>
      <c r="R10" s="171">
        <v>6219.2920000000004</v>
      </c>
      <c r="S10" s="171">
        <v>26627.29</v>
      </c>
      <c r="T10" s="172">
        <v>-0.76643165710000005</v>
      </c>
      <c r="U10" s="171">
        <v>26245.948</v>
      </c>
      <c r="V10" s="171">
        <v>85843.75</v>
      </c>
      <c r="W10" s="172">
        <v>-0.69425906950000005</v>
      </c>
      <c r="X10" s="171">
        <v>341818.00300000003</v>
      </c>
      <c r="Y10" s="172">
        <v>-0.19448706809999999</v>
      </c>
      <c r="Z10" s="171">
        <v>141362.58799999999</v>
      </c>
      <c r="AA10" s="171">
        <v>148837.288</v>
      </c>
      <c r="AB10" s="172">
        <v>-5.0220614099999998E-2</v>
      </c>
      <c r="AC10" s="171">
        <v>442200.96</v>
      </c>
      <c r="AD10" s="171">
        <v>423092.68199999997</v>
      </c>
      <c r="AE10" s="172">
        <v>4.5163338499999997E-2</v>
      </c>
      <c r="AF10" s="171">
        <v>1774349.68</v>
      </c>
      <c r="AG10" s="172">
        <v>9.2496767000000008E-3</v>
      </c>
    </row>
    <row r="11" spans="1:33">
      <c r="A11" s="133" t="s">
        <v>9</v>
      </c>
      <c r="B11" s="171">
        <v>8.3480000000000008</v>
      </c>
      <c r="C11" s="171">
        <v>1.534</v>
      </c>
      <c r="D11" s="172">
        <v>4.4419817470999998</v>
      </c>
      <c r="E11" s="171">
        <v>22.960999999999999</v>
      </c>
      <c r="F11" s="171">
        <v>41.265999999999998</v>
      </c>
      <c r="G11" s="172">
        <v>-0.44358551829999998</v>
      </c>
      <c r="H11" s="171">
        <v>460.226</v>
      </c>
      <c r="I11" s="172">
        <v>0.93908368509999995</v>
      </c>
      <c r="J11" s="171">
        <v>2.1070000000000002</v>
      </c>
      <c r="K11" s="171">
        <v>2.6709999999999998</v>
      </c>
      <c r="L11" s="172">
        <v>-0.2111568701</v>
      </c>
      <c r="M11" s="171">
        <v>7.6420000000000003</v>
      </c>
      <c r="N11" s="171">
        <v>5.31</v>
      </c>
      <c r="O11" s="172">
        <v>0.43917137480000001</v>
      </c>
      <c r="P11" s="171">
        <v>102.224</v>
      </c>
      <c r="Q11" s="172">
        <v>2.6738185085000001</v>
      </c>
      <c r="R11" s="171">
        <v>34532.92</v>
      </c>
      <c r="S11" s="171">
        <v>16590.53</v>
      </c>
      <c r="T11" s="172">
        <v>1.0814838345</v>
      </c>
      <c r="U11" s="171">
        <v>116246.447</v>
      </c>
      <c r="V11" s="171">
        <v>42894.879999999997</v>
      </c>
      <c r="W11" s="172">
        <v>1.7100308242</v>
      </c>
      <c r="X11" s="171">
        <v>469254.72</v>
      </c>
      <c r="Y11" s="172">
        <v>1.0598758469</v>
      </c>
      <c r="Z11" s="171">
        <v>16813.075000000001</v>
      </c>
      <c r="AA11" s="171">
        <v>22266.978999999999</v>
      </c>
      <c r="AB11" s="172">
        <v>-0.24493237270000001</v>
      </c>
      <c r="AC11" s="171">
        <v>58564.061999999998</v>
      </c>
      <c r="AD11" s="171">
        <v>64695.023999999998</v>
      </c>
      <c r="AE11" s="172">
        <v>-9.4767133899999995E-2</v>
      </c>
      <c r="AF11" s="171">
        <v>254860.00700000001</v>
      </c>
      <c r="AG11" s="172">
        <v>0.1156190844</v>
      </c>
    </row>
    <row r="12" spans="1:33">
      <c r="A12" s="133" t="s">
        <v>8</v>
      </c>
      <c r="B12" s="171">
        <v>0</v>
      </c>
      <c r="C12" s="171">
        <v>0</v>
      </c>
      <c r="D12" s="172">
        <v>0</v>
      </c>
      <c r="E12" s="171">
        <v>0</v>
      </c>
      <c r="F12" s="171">
        <v>0</v>
      </c>
      <c r="G12" s="172">
        <v>0</v>
      </c>
      <c r="H12" s="171">
        <v>0</v>
      </c>
      <c r="I12" s="172">
        <v>0</v>
      </c>
      <c r="J12" s="171">
        <v>0</v>
      </c>
      <c r="K12" s="171">
        <v>0</v>
      </c>
      <c r="L12" s="172">
        <v>0</v>
      </c>
      <c r="M12" s="171">
        <v>0</v>
      </c>
      <c r="N12" s="171">
        <v>0</v>
      </c>
      <c r="O12" s="172">
        <v>0</v>
      </c>
      <c r="P12" s="171">
        <v>0</v>
      </c>
      <c r="Q12" s="172">
        <v>0</v>
      </c>
      <c r="R12" s="171">
        <v>0</v>
      </c>
      <c r="S12" s="171">
        <v>0</v>
      </c>
      <c r="T12" s="172">
        <v>0</v>
      </c>
      <c r="U12" s="171">
        <v>0</v>
      </c>
      <c r="V12" s="171">
        <v>0</v>
      </c>
      <c r="W12" s="172">
        <v>0</v>
      </c>
      <c r="X12" s="171">
        <v>0</v>
      </c>
      <c r="Y12" s="172">
        <v>0</v>
      </c>
      <c r="Z12" s="171">
        <v>103679.242</v>
      </c>
      <c r="AA12" s="171">
        <v>114410.944</v>
      </c>
      <c r="AB12" s="172">
        <v>-9.37996106E-2</v>
      </c>
      <c r="AC12" s="171">
        <v>339761.68</v>
      </c>
      <c r="AD12" s="171">
        <v>334471.40899999999</v>
      </c>
      <c r="AE12" s="172">
        <v>1.5816810800000001E-2</v>
      </c>
      <c r="AF12" s="171">
        <v>1212524.8470000001</v>
      </c>
      <c r="AG12" s="172">
        <v>8.2103068599999995E-2</v>
      </c>
    </row>
    <row r="13" spans="1:33">
      <c r="A13" s="133" t="s">
        <v>25</v>
      </c>
      <c r="B13" s="171">
        <v>0</v>
      </c>
      <c r="C13" s="171">
        <v>0</v>
      </c>
      <c r="D13" s="172">
        <v>0</v>
      </c>
      <c r="E13" s="171">
        <v>0</v>
      </c>
      <c r="F13" s="171">
        <v>0</v>
      </c>
      <c r="G13" s="172">
        <v>0</v>
      </c>
      <c r="H13" s="171">
        <v>0</v>
      </c>
      <c r="I13" s="172">
        <v>0</v>
      </c>
      <c r="J13" s="171">
        <v>0</v>
      </c>
      <c r="K13" s="171">
        <v>0</v>
      </c>
      <c r="L13" s="172">
        <v>0</v>
      </c>
      <c r="M13" s="171">
        <v>0</v>
      </c>
      <c r="N13" s="171">
        <v>0</v>
      </c>
      <c r="O13" s="172">
        <v>0</v>
      </c>
      <c r="P13" s="171">
        <v>0</v>
      </c>
      <c r="Q13" s="172">
        <v>0</v>
      </c>
      <c r="R13" s="171">
        <v>233282.42</v>
      </c>
      <c r="S13" s="171">
        <v>331001.33500000002</v>
      </c>
      <c r="T13" s="172">
        <v>-0.29522211749999999</v>
      </c>
      <c r="U13" s="171">
        <v>720124.05200000003</v>
      </c>
      <c r="V13" s="171">
        <v>979710.53099999996</v>
      </c>
      <c r="W13" s="172">
        <v>-0.26496242590000002</v>
      </c>
      <c r="X13" s="171">
        <v>3726093.8709999998</v>
      </c>
      <c r="Y13" s="172">
        <v>-1.8608594199999998E-2</v>
      </c>
      <c r="Z13" s="171">
        <v>284831.44400000002</v>
      </c>
      <c r="AA13" s="171">
        <v>288521.09999999998</v>
      </c>
      <c r="AB13" s="172">
        <v>-1.2788167E-2</v>
      </c>
      <c r="AC13" s="171">
        <v>853583.38899999997</v>
      </c>
      <c r="AD13" s="171">
        <v>924198.29799999995</v>
      </c>
      <c r="AE13" s="172">
        <v>-7.6406664200000002E-2</v>
      </c>
      <c r="AF13" s="171">
        <v>3519395.6179999998</v>
      </c>
      <c r="AG13" s="172">
        <v>-1.2692359999999999E-4</v>
      </c>
    </row>
    <row r="14" spans="1:33">
      <c r="A14" s="133" t="s">
        <v>24</v>
      </c>
      <c r="B14" s="171">
        <v>0</v>
      </c>
      <c r="C14" s="171">
        <v>0</v>
      </c>
      <c r="D14" s="172">
        <v>0</v>
      </c>
      <c r="E14" s="171">
        <v>0</v>
      </c>
      <c r="F14" s="171">
        <v>0</v>
      </c>
      <c r="G14" s="172">
        <v>0</v>
      </c>
      <c r="H14" s="171">
        <v>0</v>
      </c>
      <c r="I14" s="172">
        <v>0</v>
      </c>
      <c r="J14" s="171">
        <v>0</v>
      </c>
      <c r="K14" s="171">
        <v>0</v>
      </c>
      <c r="L14" s="172">
        <v>0</v>
      </c>
      <c r="M14" s="171">
        <v>0</v>
      </c>
      <c r="N14" s="171">
        <v>0</v>
      </c>
      <c r="O14" s="172">
        <v>0</v>
      </c>
      <c r="P14" s="171">
        <v>0</v>
      </c>
      <c r="Q14" s="172">
        <v>0</v>
      </c>
      <c r="R14" s="171">
        <v>0</v>
      </c>
      <c r="S14" s="171">
        <v>0</v>
      </c>
      <c r="T14" s="172">
        <v>0</v>
      </c>
      <c r="U14" s="171">
        <v>0</v>
      </c>
      <c r="V14" s="171">
        <v>0</v>
      </c>
      <c r="W14" s="172">
        <v>0</v>
      </c>
      <c r="X14" s="171">
        <v>12117.501</v>
      </c>
      <c r="Y14" s="172">
        <v>7.6034033000000004E-3</v>
      </c>
      <c r="Z14" s="171">
        <v>-13.753</v>
      </c>
      <c r="AA14" s="171">
        <v>0</v>
      </c>
      <c r="AB14" s="172">
        <v>0</v>
      </c>
      <c r="AC14" s="171">
        <v>-37.57</v>
      </c>
      <c r="AD14" s="171">
        <v>0</v>
      </c>
      <c r="AE14" s="172">
        <v>0</v>
      </c>
      <c r="AF14" s="171">
        <v>-103.242</v>
      </c>
      <c r="AG14" s="172">
        <v>0</v>
      </c>
    </row>
    <row r="15" spans="1:33">
      <c r="A15" s="133" t="s">
        <v>6</v>
      </c>
      <c r="B15" s="171">
        <v>0</v>
      </c>
      <c r="C15" s="171">
        <v>0</v>
      </c>
      <c r="D15" s="172">
        <v>0</v>
      </c>
      <c r="E15" s="171">
        <v>0</v>
      </c>
      <c r="F15" s="171">
        <v>0</v>
      </c>
      <c r="G15" s="172">
        <v>0</v>
      </c>
      <c r="H15" s="171">
        <v>0</v>
      </c>
      <c r="I15" s="172">
        <v>0</v>
      </c>
      <c r="J15" s="171">
        <v>0</v>
      </c>
      <c r="K15" s="171">
        <v>0</v>
      </c>
      <c r="L15" s="172">
        <v>0</v>
      </c>
      <c r="M15" s="171">
        <v>0</v>
      </c>
      <c r="N15" s="171">
        <v>0</v>
      </c>
      <c r="O15" s="172">
        <v>0</v>
      </c>
      <c r="P15" s="171">
        <v>0</v>
      </c>
      <c r="Q15" s="172">
        <v>0</v>
      </c>
      <c r="R15" s="171">
        <v>0</v>
      </c>
      <c r="S15" s="171">
        <v>0</v>
      </c>
      <c r="T15" s="172">
        <v>0</v>
      </c>
      <c r="U15" s="171">
        <v>0</v>
      </c>
      <c r="V15" s="171">
        <v>0</v>
      </c>
      <c r="W15" s="172">
        <v>0</v>
      </c>
      <c r="X15" s="171">
        <v>0</v>
      </c>
      <c r="Y15" s="172">
        <v>0</v>
      </c>
      <c r="Z15" s="171">
        <v>1572.4449999999999</v>
      </c>
      <c r="AA15" s="171">
        <v>2126.3229999999999</v>
      </c>
      <c r="AB15" s="172">
        <v>-0.26048629490000003</v>
      </c>
      <c r="AC15" s="171">
        <v>4051.29</v>
      </c>
      <c r="AD15" s="171">
        <v>4719.2839999999997</v>
      </c>
      <c r="AE15" s="172">
        <v>-0.14154562430000001</v>
      </c>
      <c r="AF15" s="171">
        <v>22212.85</v>
      </c>
      <c r="AG15" s="172">
        <v>-6.1815788300000001E-2</v>
      </c>
    </row>
    <row r="16" spans="1:33">
      <c r="A16" s="133" t="s">
        <v>5</v>
      </c>
      <c r="B16" s="171">
        <v>0</v>
      </c>
      <c r="C16" s="171">
        <v>0</v>
      </c>
      <c r="D16" s="172">
        <v>0</v>
      </c>
      <c r="E16" s="171">
        <v>0</v>
      </c>
      <c r="F16" s="171">
        <v>0</v>
      </c>
      <c r="G16" s="172">
        <v>0</v>
      </c>
      <c r="H16" s="171">
        <v>0</v>
      </c>
      <c r="I16" s="172">
        <v>0</v>
      </c>
      <c r="J16" s="171">
        <v>0</v>
      </c>
      <c r="K16" s="171">
        <v>0</v>
      </c>
      <c r="L16" s="172">
        <v>0</v>
      </c>
      <c r="M16" s="171">
        <v>0</v>
      </c>
      <c r="N16" s="171">
        <v>0</v>
      </c>
      <c r="O16" s="172">
        <v>0</v>
      </c>
      <c r="P16" s="171">
        <v>0</v>
      </c>
      <c r="Q16" s="172">
        <v>0</v>
      </c>
      <c r="R16" s="171">
        <v>200.35</v>
      </c>
      <c r="S16" s="171">
        <v>338.46</v>
      </c>
      <c r="T16" s="172">
        <v>-0.40805412749999997</v>
      </c>
      <c r="U16" s="171">
        <v>599.32000000000005</v>
      </c>
      <c r="V16" s="171">
        <v>782.33799999999997</v>
      </c>
      <c r="W16" s="172">
        <v>-0.23393724960000001</v>
      </c>
      <c r="X16" s="171">
        <v>1266.0150000000001</v>
      </c>
      <c r="Y16" s="172">
        <v>-0.4669154646</v>
      </c>
      <c r="Z16" s="171">
        <v>129958.57</v>
      </c>
      <c r="AA16" s="171">
        <v>109414.61599999999</v>
      </c>
      <c r="AB16" s="172">
        <v>0.18776242839999999</v>
      </c>
      <c r="AC16" s="171">
        <v>304238.62699999998</v>
      </c>
      <c r="AD16" s="171">
        <v>258504.39</v>
      </c>
      <c r="AE16" s="172">
        <v>0.1769186086</v>
      </c>
      <c r="AF16" s="171">
        <v>1414482.247</v>
      </c>
      <c r="AG16" s="172">
        <v>4.6517547499999999E-2</v>
      </c>
    </row>
    <row r="17" spans="1:33">
      <c r="A17" s="133" t="s">
        <v>4</v>
      </c>
      <c r="B17" s="171">
        <v>0</v>
      </c>
      <c r="C17" s="171">
        <v>0</v>
      </c>
      <c r="D17" s="172">
        <v>0</v>
      </c>
      <c r="E17" s="171">
        <v>0</v>
      </c>
      <c r="F17" s="171">
        <v>0</v>
      </c>
      <c r="G17" s="172">
        <v>0</v>
      </c>
      <c r="H17" s="171">
        <v>0</v>
      </c>
      <c r="I17" s="172">
        <v>0</v>
      </c>
      <c r="J17" s="171">
        <v>0</v>
      </c>
      <c r="K17" s="171">
        <v>5.27</v>
      </c>
      <c r="L17" s="172">
        <v>-1</v>
      </c>
      <c r="M17" s="171">
        <v>8.6300000000000008</v>
      </c>
      <c r="N17" s="171">
        <v>14.683</v>
      </c>
      <c r="O17" s="172">
        <v>-0.4122454539</v>
      </c>
      <c r="P17" s="171">
        <v>66.165000000000006</v>
      </c>
      <c r="Q17" s="172">
        <v>0.1064566297</v>
      </c>
      <c r="R17" s="171">
        <v>33525.506999999998</v>
      </c>
      <c r="S17" s="171">
        <v>13718.277</v>
      </c>
      <c r="T17" s="172">
        <v>1.4438569800000001</v>
      </c>
      <c r="U17" s="171">
        <v>73289.752999999997</v>
      </c>
      <c r="V17" s="171">
        <v>46015.928</v>
      </c>
      <c r="W17" s="172">
        <v>0.59270400889999997</v>
      </c>
      <c r="X17" s="171">
        <v>295130.82699999999</v>
      </c>
      <c r="Y17" s="172">
        <v>0.454183157</v>
      </c>
      <c r="Z17" s="171">
        <v>31986.924999999999</v>
      </c>
      <c r="AA17" s="171">
        <v>25047.723999999998</v>
      </c>
      <c r="AB17" s="172">
        <v>0.27703918329999999</v>
      </c>
      <c r="AC17" s="171">
        <v>74070.767000000007</v>
      </c>
      <c r="AD17" s="171">
        <v>61977.171999999999</v>
      </c>
      <c r="AE17" s="172">
        <v>0.19512982940000001</v>
      </c>
      <c r="AF17" s="171">
        <v>325709.11300000001</v>
      </c>
      <c r="AG17" s="172">
        <v>0.22700813919999999</v>
      </c>
    </row>
    <row r="18" spans="1:33">
      <c r="A18" s="133" t="s">
        <v>22</v>
      </c>
      <c r="B18" s="171">
        <v>0</v>
      </c>
      <c r="C18" s="171">
        <v>0</v>
      </c>
      <c r="D18" s="172">
        <v>0</v>
      </c>
      <c r="E18" s="171">
        <v>0</v>
      </c>
      <c r="F18" s="171">
        <v>0</v>
      </c>
      <c r="G18" s="172">
        <v>0</v>
      </c>
      <c r="H18" s="171">
        <v>0</v>
      </c>
      <c r="I18" s="172">
        <v>0</v>
      </c>
      <c r="J18" s="171">
        <v>0</v>
      </c>
      <c r="K18" s="171">
        <v>0</v>
      </c>
      <c r="L18" s="172">
        <v>0</v>
      </c>
      <c r="M18" s="171">
        <v>0</v>
      </c>
      <c r="N18" s="171">
        <v>0</v>
      </c>
      <c r="O18" s="172">
        <v>0</v>
      </c>
      <c r="P18" s="171">
        <v>0</v>
      </c>
      <c r="Q18" s="172">
        <v>0</v>
      </c>
      <c r="R18" s="171">
        <v>112.30800000000001</v>
      </c>
      <c r="S18" s="171">
        <v>291.18099999999998</v>
      </c>
      <c r="T18" s="172">
        <v>-0.61430175730000003</v>
      </c>
      <c r="U18" s="171">
        <v>341.91500000000002</v>
      </c>
      <c r="V18" s="171">
        <v>857.37699999999995</v>
      </c>
      <c r="W18" s="172">
        <v>-0.60120810329999996</v>
      </c>
      <c r="X18" s="171">
        <v>1267.0350000000001</v>
      </c>
      <c r="Y18" s="172">
        <v>-0.41277083860000002</v>
      </c>
      <c r="Z18" s="171">
        <v>738.428</v>
      </c>
      <c r="AA18" s="171">
        <v>909.84400000000005</v>
      </c>
      <c r="AB18" s="172">
        <v>-0.1884015282</v>
      </c>
      <c r="AC18" s="171">
        <v>2233.6480000000001</v>
      </c>
      <c r="AD18" s="171">
        <v>2491.0729999999999</v>
      </c>
      <c r="AE18" s="172">
        <v>-0.1033390029</v>
      </c>
      <c r="AF18" s="171">
        <v>8663.9349999999995</v>
      </c>
      <c r="AG18" s="172">
        <v>-4.0839301999999996E-3</v>
      </c>
    </row>
    <row r="19" spans="1:33">
      <c r="A19" s="133" t="s">
        <v>23</v>
      </c>
      <c r="B19" s="171">
        <v>0</v>
      </c>
      <c r="C19" s="171">
        <v>0</v>
      </c>
      <c r="D19" s="172">
        <v>0</v>
      </c>
      <c r="E19" s="171">
        <v>0</v>
      </c>
      <c r="F19" s="171">
        <v>0</v>
      </c>
      <c r="G19" s="172">
        <v>0</v>
      </c>
      <c r="H19" s="171">
        <v>0</v>
      </c>
      <c r="I19" s="172">
        <v>0</v>
      </c>
      <c r="J19" s="171">
        <v>0</v>
      </c>
      <c r="K19" s="171">
        <v>0</v>
      </c>
      <c r="L19" s="172">
        <v>0</v>
      </c>
      <c r="M19" s="171">
        <v>0</v>
      </c>
      <c r="N19" s="171">
        <v>0</v>
      </c>
      <c r="O19" s="172">
        <v>0</v>
      </c>
      <c r="P19" s="171">
        <v>0</v>
      </c>
      <c r="Q19" s="172">
        <v>0</v>
      </c>
      <c r="R19" s="171">
        <v>3585.6219999999998</v>
      </c>
      <c r="S19" s="171">
        <v>3993.2040000000002</v>
      </c>
      <c r="T19" s="172">
        <v>-0.1020689151</v>
      </c>
      <c r="U19" s="171">
        <v>9692.8349999999991</v>
      </c>
      <c r="V19" s="171">
        <v>10462.616</v>
      </c>
      <c r="W19" s="172">
        <v>-7.3574429199999999E-2</v>
      </c>
      <c r="X19" s="171">
        <v>25275.532999999999</v>
      </c>
      <c r="Y19" s="172">
        <v>-0.37893605870000002</v>
      </c>
      <c r="Z19" s="171">
        <v>0</v>
      </c>
      <c r="AA19" s="171">
        <v>0</v>
      </c>
      <c r="AB19" s="172">
        <v>0</v>
      </c>
      <c r="AC19" s="171">
        <v>0</v>
      </c>
      <c r="AD19" s="171">
        <v>0</v>
      </c>
      <c r="AE19" s="172">
        <v>0</v>
      </c>
      <c r="AF19" s="171">
        <v>0</v>
      </c>
      <c r="AG19" s="172">
        <v>0</v>
      </c>
    </row>
    <row r="20" spans="1:33">
      <c r="A20" s="133" t="s">
        <v>54</v>
      </c>
      <c r="B20" s="171">
        <v>0</v>
      </c>
      <c r="C20" s="171">
        <v>0</v>
      </c>
      <c r="D20" s="172">
        <v>0</v>
      </c>
      <c r="E20" s="171">
        <v>0</v>
      </c>
      <c r="F20" s="171">
        <v>0</v>
      </c>
      <c r="G20" s="172">
        <v>0</v>
      </c>
      <c r="H20" s="171">
        <v>0</v>
      </c>
      <c r="I20" s="172">
        <v>0</v>
      </c>
      <c r="J20" s="171">
        <v>443.90100000000001</v>
      </c>
      <c r="K20" s="171">
        <v>427.67700000000002</v>
      </c>
      <c r="L20" s="172">
        <v>3.79351707E-2</v>
      </c>
      <c r="M20" s="171">
        <v>1352.5364999999999</v>
      </c>
      <c r="N20" s="171">
        <v>1529.1914999999999</v>
      </c>
      <c r="O20" s="172">
        <v>-0.11552182969999999</v>
      </c>
      <c r="P20" s="171">
        <v>5670.6724999999997</v>
      </c>
      <c r="Q20" s="172">
        <v>-4.2574871E-2</v>
      </c>
      <c r="R20" s="171">
        <v>9637.8819999999996</v>
      </c>
      <c r="S20" s="171">
        <v>9663.32</v>
      </c>
      <c r="T20" s="172">
        <v>-2.6324285999999998E-3</v>
      </c>
      <c r="U20" s="171">
        <v>26829.592499999999</v>
      </c>
      <c r="V20" s="171">
        <v>24975.907500000001</v>
      </c>
      <c r="W20" s="172">
        <v>7.4218924800000002E-2</v>
      </c>
      <c r="X20" s="171">
        <v>134914.967</v>
      </c>
      <c r="Y20" s="172">
        <v>0.14397342099999999</v>
      </c>
      <c r="Z20" s="171">
        <v>0</v>
      </c>
      <c r="AA20" s="171">
        <v>0</v>
      </c>
      <c r="AB20" s="172">
        <v>0</v>
      </c>
      <c r="AC20" s="171">
        <v>0</v>
      </c>
      <c r="AD20" s="171">
        <v>0</v>
      </c>
      <c r="AE20" s="172">
        <v>0</v>
      </c>
      <c r="AF20" s="171">
        <v>0</v>
      </c>
      <c r="AG20" s="172">
        <v>0</v>
      </c>
    </row>
    <row r="21" spans="1:33">
      <c r="A21" s="133" t="s">
        <v>55</v>
      </c>
      <c r="B21" s="171">
        <v>0</v>
      </c>
      <c r="C21" s="171">
        <v>0</v>
      </c>
      <c r="D21" s="172">
        <v>0</v>
      </c>
      <c r="E21" s="171">
        <v>0</v>
      </c>
      <c r="F21" s="171">
        <v>0</v>
      </c>
      <c r="G21" s="172">
        <v>0</v>
      </c>
      <c r="H21" s="171">
        <v>0</v>
      </c>
      <c r="I21" s="172">
        <v>0</v>
      </c>
      <c r="J21" s="171">
        <v>443.90100000000001</v>
      </c>
      <c r="K21" s="171">
        <v>427.67700000000002</v>
      </c>
      <c r="L21" s="172">
        <v>3.79351707E-2</v>
      </c>
      <c r="M21" s="171">
        <v>1352.5364999999999</v>
      </c>
      <c r="N21" s="171">
        <v>1529.1914999999999</v>
      </c>
      <c r="O21" s="172">
        <v>-0.11552182969999999</v>
      </c>
      <c r="P21" s="171">
        <v>5670.6724999999997</v>
      </c>
      <c r="Q21" s="172">
        <v>-4.2574871E-2</v>
      </c>
      <c r="R21" s="171">
        <v>9637.8819999999996</v>
      </c>
      <c r="S21" s="171">
        <v>9663.32</v>
      </c>
      <c r="T21" s="172">
        <v>-2.6324285999999998E-3</v>
      </c>
      <c r="U21" s="171">
        <v>26829.592499999999</v>
      </c>
      <c r="V21" s="171">
        <v>24975.907500000001</v>
      </c>
      <c r="W21" s="172">
        <v>7.4218924800000002E-2</v>
      </c>
      <c r="X21" s="171">
        <v>134914.967</v>
      </c>
      <c r="Y21" s="172">
        <v>0.14397342099999999</v>
      </c>
      <c r="Z21" s="171">
        <v>0</v>
      </c>
      <c r="AA21" s="171">
        <v>0</v>
      </c>
      <c r="AB21" s="172">
        <v>0</v>
      </c>
      <c r="AC21" s="171">
        <v>0</v>
      </c>
      <c r="AD21" s="171">
        <v>0</v>
      </c>
      <c r="AE21" s="172">
        <v>0</v>
      </c>
      <c r="AF21" s="171">
        <v>0</v>
      </c>
      <c r="AG21" s="172">
        <v>0</v>
      </c>
    </row>
    <row r="22" spans="1:33">
      <c r="A22" s="137" t="s">
        <v>2</v>
      </c>
      <c r="B22" s="173">
        <v>15386.334999999999</v>
      </c>
      <c r="C22" s="173">
        <v>17074.705000000002</v>
      </c>
      <c r="D22" s="174">
        <v>-9.8881357000000003E-2</v>
      </c>
      <c r="E22" s="173">
        <v>47728.81</v>
      </c>
      <c r="F22" s="173">
        <v>49617.781000000003</v>
      </c>
      <c r="G22" s="174">
        <v>-3.80704449E-2</v>
      </c>
      <c r="H22" s="173">
        <v>193510.34099999999</v>
      </c>
      <c r="I22" s="174">
        <v>-1.9751737200000001E-2</v>
      </c>
      <c r="J22" s="173">
        <v>15193.214</v>
      </c>
      <c r="K22" s="173">
        <v>15777.334999999999</v>
      </c>
      <c r="L22" s="174">
        <v>-3.7022792499999999E-2</v>
      </c>
      <c r="M22" s="173">
        <v>46352.006000000001</v>
      </c>
      <c r="N22" s="173">
        <v>47717.909</v>
      </c>
      <c r="O22" s="174">
        <v>-2.8624535900000001E-2</v>
      </c>
      <c r="P22" s="173">
        <v>195074.617</v>
      </c>
      <c r="Q22" s="174">
        <v>-4.0994374299999997E-2</v>
      </c>
      <c r="R22" s="173">
        <v>330215.84299999999</v>
      </c>
      <c r="S22" s="173">
        <v>411218.04399999999</v>
      </c>
      <c r="T22" s="174">
        <v>-0.19698114459999999</v>
      </c>
      <c r="U22" s="173">
        <v>998246.424</v>
      </c>
      <c r="V22" s="173">
        <v>1214642.7679999999</v>
      </c>
      <c r="W22" s="174">
        <v>-0.17815636800000001</v>
      </c>
      <c r="X22" s="173">
        <v>5220629.08</v>
      </c>
      <c r="Y22" s="174">
        <v>4.6302619900000001E-2</v>
      </c>
      <c r="Z22" s="173">
        <v>711219.19700000004</v>
      </c>
      <c r="AA22" s="173">
        <v>711831.26399999997</v>
      </c>
      <c r="AB22" s="174">
        <v>-8.598484E-4</v>
      </c>
      <c r="AC22" s="173">
        <v>2079486.486</v>
      </c>
      <c r="AD22" s="173">
        <v>2074990.5730000001</v>
      </c>
      <c r="AE22" s="174">
        <v>2.1667149E-3</v>
      </c>
      <c r="AF22" s="173">
        <v>8535504.9920000006</v>
      </c>
      <c r="AG22" s="174">
        <v>3.09347622E-2</v>
      </c>
    </row>
    <row r="23" spans="1:33">
      <c r="A23" s="133" t="s">
        <v>21</v>
      </c>
      <c r="B23" s="171">
        <v>0</v>
      </c>
      <c r="C23" s="171">
        <v>0</v>
      </c>
      <c r="D23" s="172">
        <v>0</v>
      </c>
      <c r="E23" s="171">
        <v>0</v>
      </c>
      <c r="F23" s="171">
        <v>0</v>
      </c>
      <c r="G23" s="172">
        <v>0</v>
      </c>
      <c r="H23" s="171">
        <v>0</v>
      </c>
      <c r="I23" s="172">
        <v>0</v>
      </c>
      <c r="J23" s="171">
        <v>0</v>
      </c>
      <c r="K23" s="171">
        <v>0</v>
      </c>
      <c r="L23" s="172">
        <v>0</v>
      </c>
      <c r="M23" s="171">
        <v>0</v>
      </c>
      <c r="N23" s="171">
        <v>0</v>
      </c>
      <c r="O23" s="172">
        <v>0</v>
      </c>
      <c r="P23" s="171">
        <v>0</v>
      </c>
      <c r="Q23" s="172">
        <v>0</v>
      </c>
      <c r="R23" s="171">
        <v>82194.308000000005</v>
      </c>
      <c r="S23" s="171">
        <v>30689.280999999999</v>
      </c>
      <c r="T23" s="172">
        <v>1.6782741505000001</v>
      </c>
      <c r="U23" s="171">
        <v>295878.701</v>
      </c>
      <c r="V23" s="171">
        <v>89351.122000000003</v>
      </c>
      <c r="W23" s="172">
        <v>2.3114156194</v>
      </c>
      <c r="X23" s="171">
        <v>809261.28300000005</v>
      </c>
      <c r="Y23" s="172">
        <v>0.3489214692</v>
      </c>
      <c r="Z23" s="171">
        <v>0</v>
      </c>
      <c r="AA23" s="171">
        <v>0</v>
      </c>
      <c r="AB23" s="172">
        <v>0</v>
      </c>
      <c r="AC23" s="171">
        <v>0</v>
      </c>
      <c r="AD23" s="171">
        <v>0</v>
      </c>
      <c r="AE23" s="172">
        <v>0</v>
      </c>
      <c r="AF23" s="171">
        <v>0</v>
      </c>
      <c r="AG23" s="172">
        <v>0</v>
      </c>
    </row>
    <row r="24" spans="1:33">
      <c r="A24" s="137" t="s">
        <v>79</v>
      </c>
      <c r="B24" s="173">
        <v>15386.334999999999</v>
      </c>
      <c r="C24" s="173">
        <v>17074.705000000002</v>
      </c>
      <c r="D24" s="174">
        <v>-9.8881357000000003E-2</v>
      </c>
      <c r="E24" s="173">
        <v>47728.81</v>
      </c>
      <c r="F24" s="173">
        <v>49617.781000000003</v>
      </c>
      <c r="G24" s="174">
        <v>-3.80704449E-2</v>
      </c>
      <c r="H24" s="173">
        <v>193510.34099999999</v>
      </c>
      <c r="I24" s="174">
        <v>-1.9751737200000001E-2</v>
      </c>
      <c r="J24" s="173">
        <v>15193.214</v>
      </c>
      <c r="K24" s="173">
        <v>15777.334999999999</v>
      </c>
      <c r="L24" s="174">
        <v>-3.7022792499999999E-2</v>
      </c>
      <c r="M24" s="173">
        <v>46352.006000000001</v>
      </c>
      <c r="N24" s="173">
        <v>47717.909</v>
      </c>
      <c r="O24" s="174">
        <v>-2.8624535900000001E-2</v>
      </c>
      <c r="P24" s="173">
        <v>195074.617</v>
      </c>
      <c r="Q24" s="174">
        <v>-4.0994374299999997E-2</v>
      </c>
      <c r="R24" s="173">
        <v>412410.15100000001</v>
      </c>
      <c r="S24" s="173">
        <v>441907.32500000001</v>
      </c>
      <c r="T24" s="174">
        <v>-6.6749683300000001E-2</v>
      </c>
      <c r="U24" s="173">
        <v>1294125.125</v>
      </c>
      <c r="V24" s="173">
        <v>1303993.8899999999</v>
      </c>
      <c r="W24" s="174">
        <v>-7.5681068000000001E-3</v>
      </c>
      <c r="X24" s="173">
        <v>6029890.3629999999</v>
      </c>
      <c r="Y24" s="174">
        <v>7.8783126999999994E-2</v>
      </c>
      <c r="Z24" s="173">
        <v>711219.19700000004</v>
      </c>
      <c r="AA24" s="173">
        <v>711831.26399999997</v>
      </c>
      <c r="AB24" s="174">
        <v>-8.598484E-4</v>
      </c>
      <c r="AC24" s="173">
        <v>2079486.486</v>
      </c>
      <c r="AD24" s="173">
        <v>2074990.5730000001</v>
      </c>
      <c r="AE24" s="174">
        <v>2.1667149E-3</v>
      </c>
      <c r="AF24" s="173">
        <v>8535504.9920000006</v>
      </c>
      <c r="AG24" s="174">
        <v>3.09347622E-2</v>
      </c>
    </row>
    <row r="26" spans="1:33">
      <c r="A26" s="102" t="s">
        <v>103</v>
      </c>
      <c r="B26" s="162">
        <f>SUM(B24,J24,R24,Z24)</f>
        <v>1154208.8970000001</v>
      </c>
      <c r="C26" s="162">
        <f>SUM(C24,K24,S24,AA24)</f>
        <v>1186590.629</v>
      </c>
      <c r="D26" s="163">
        <f>((B26/C26)-1)*100</f>
        <v>-2.7289725039620127</v>
      </c>
      <c r="R26" s="163"/>
      <c r="Z26" s="163"/>
    </row>
    <row r="29" spans="1:33" ht="15">
      <c r="A29" s="134" t="s">
        <v>67</v>
      </c>
      <c r="B29" s="197" t="str">
        <f>A2</f>
        <v>Marzo 2023</v>
      </c>
      <c r="C29" s="198"/>
    </row>
    <row r="30" spans="1:33" ht="15">
      <c r="A30" s="134" t="s">
        <v>69</v>
      </c>
      <c r="B30" s="208" t="s">
        <v>72</v>
      </c>
      <c r="C30" s="209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81"/>
      <c r="C33" s="181">
        <v>1.52</v>
      </c>
    </row>
    <row r="34" spans="1:4">
      <c r="A34" s="133" t="s">
        <v>11</v>
      </c>
      <c r="B34" s="181">
        <v>241.2</v>
      </c>
      <c r="C34" s="181"/>
    </row>
    <row r="35" spans="1:4">
      <c r="A35" s="133" t="s">
        <v>78</v>
      </c>
      <c r="B35" s="181">
        <v>139.4</v>
      </c>
      <c r="C35" s="181">
        <v>487.64</v>
      </c>
    </row>
    <row r="36" spans="1:4">
      <c r="A36" s="133" t="s">
        <v>9</v>
      </c>
      <c r="B36" s="181">
        <v>603.1</v>
      </c>
      <c r="C36" s="181">
        <v>520.75</v>
      </c>
    </row>
    <row r="37" spans="1:4">
      <c r="A37" s="133" t="s">
        <v>8</v>
      </c>
      <c r="B37" s="181"/>
      <c r="C37" s="181">
        <v>482.64</v>
      </c>
    </row>
    <row r="38" spans="1:4">
      <c r="A38" s="133" t="s">
        <v>25</v>
      </c>
      <c r="B38" s="181">
        <v>822.9</v>
      </c>
      <c r="C38" s="181">
        <v>865.4</v>
      </c>
    </row>
    <row r="39" spans="1:4">
      <c r="A39" s="133" t="s">
        <v>24</v>
      </c>
      <c r="B39" s="181"/>
      <c r="C39" s="181"/>
    </row>
    <row r="40" spans="1:4">
      <c r="A40" s="133" t="s">
        <v>6</v>
      </c>
      <c r="B40" s="181"/>
      <c r="C40" s="181">
        <v>11.32</v>
      </c>
    </row>
    <row r="41" spans="1:4">
      <c r="A41" s="133" t="s">
        <v>5</v>
      </c>
      <c r="B41" s="181">
        <v>3.6074999999999999</v>
      </c>
      <c r="C41" s="181">
        <v>591.71500000000003</v>
      </c>
      <c r="D41" s="167"/>
    </row>
    <row r="42" spans="1:4">
      <c r="A42" s="133" t="s">
        <v>4</v>
      </c>
      <c r="B42" s="181">
        <v>229.85486499999999</v>
      </c>
      <c r="C42" s="181">
        <v>212.16494499999999</v>
      </c>
      <c r="D42" s="167"/>
    </row>
    <row r="43" spans="1:4">
      <c r="A43" s="133" t="s">
        <v>22</v>
      </c>
      <c r="B43" s="181">
        <v>2.13</v>
      </c>
      <c r="C43" s="181">
        <v>3.6960000000000002</v>
      </c>
    </row>
    <row r="44" spans="1:4">
      <c r="A44" s="133" t="s">
        <v>23</v>
      </c>
      <c r="B44" s="181">
        <v>11.523</v>
      </c>
      <c r="C44" s="181">
        <v>38.200000000000003</v>
      </c>
    </row>
    <row r="45" spans="1:4">
      <c r="A45" s="133" t="s">
        <v>54</v>
      </c>
      <c r="B45" s="181">
        <v>37.4</v>
      </c>
      <c r="C45" s="181"/>
    </row>
    <row r="46" spans="1:4">
      <c r="A46" s="133" t="s">
        <v>55</v>
      </c>
      <c r="B46" s="181">
        <v>37.4</v>
      </c>
      <c r="C46" s="181"/>
    </row>
    <row r="47" spans="1:4">
      <c r="A47" s="137" t="s">
        <v>2</v>
      </c>
      <c r="B47" s="182">
        <f>SUM(B33:B46)</f>
        <v>2128.5153650000002</v>
      </c>
      <c r="C47" s="182">
        <f>SUM(C33:C46)</f>
        <v>3215.0459449999998</v>
      </c>
    </row>
    <row r="48" spans="1:4" ht="15">
      <c r="A48"/>
      <c r="B48" s="170"/>
      <c r="C4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11.331842088910642</v>
      </c>
      <c r="D52" s="165"/>
      <c r="F52" s="105" t="s">
        <v>10</v>
      </c>
      <c r="G52" s="106">
        <f>C35</f>
        <v>487.64</v>
      </c>
      <c r="H52" s="107">
        <f>G52/$G$62*100</f>
        <v>15.167434877824117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6.5491657843869966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16.197280191589922</v>
      </c>
    </row>
    <row r="54" spans="1:8">
      <c r="A54" s="105" t="s">
        <v>9</v>
      </c>
      <c r="B54" s="106">
        <f t="shared" si="1"/>
        <v>603.1</v>
      </c>
      <c r="C54" s="107">
        <f t="shared" si="0"/>
        <v>28.33430333259539</v>
      </c>
      <c r="D54" s="165"/>
      <c r="F54" s="105" t="s">
        <v>8</v>
      </c>
      <c r="G54" s="106">
        <f>C37</f>
        <v>482.64</v>
      </c>
      <c r="H54" s="107">
        <f t="shared" si="2"/>
        <v>15.011916104981198</v>
      </c>
    </row>
    <row r="55" spans="1:8">
      <c r="A55" s="105" t="s">
        <v>25</v>
      </c>
      <c r="B55" s="106">
        <f>B38</f>
        <v>822.9</v>
      </c>
      <c r="C55" s="107">
        <f t="shared" si="0"/>
        <v>38.660749813285932</v>
      </c>
      <c r="D55" s="165"/>
      <c r="F55" s="105" t="s">
        <v>25</v>
      </c>
      <c r="G55" s="106">
        <f>C38</f>
        <v>865.4</v>
      </c>
      <c r="H55" s="107">
        <f t="shared" si="2"/>
        <v>26.917189203652271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1.1881634245198944</v>
      </c>
    </row>
    <row r="57" spans="1:8">
      <c r="A57" s="105" t="s">
        <v>23</v>
      </c>
      <c r="B57" s="106">
        <f>B44</f>
        <v>11.523</v>
      </c>
      <c r="C57" s="107">
        <f t="shared" si="0"/>
        <v>0.54136325203365399</v>
      </c>
      <c r="D57" s="165"/>
      <c r="F57" s="105" t="s">
        <v>12</v>
      </c>
      <c r="G57" s="107">
        <f>C33</f>
        <v>1.52</v>
      </c>
      <c r="H57" s="107">
        <f t="shared" si="2"/>
        <v>4.7277706944247114E-2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1.7570932592257795</v>
      </c>
      <c r="D58" s="165"/>
      <c r="F58" s="105" t="s">
        <v>6</v>
      </c>
      <c r="G58" s="106">
        <f>C40</f>
        <v>11.32</v>
      </c>
      <c r="H58" s="107">
        <f t="shared" si="2"/>
        <v>0.35209450171636664</v>
      </c>
    </row>
    <row r="59" spans="1:8">
      <c r="A59" s="105" t="s">
        <v>54</v>
      </c>
      <c r="B59" s="106">
        <f>B45</f>
        <v>37.4</v>
      </c>
      <c r="C59" s="107">
        <f t="shared" si="3"/>
        <v>1.7570932592257795</v>
      </c>
      <c r="D59" s="165"/>
      <c r="F59" s="105" t="s">
        <v>5</v>
      </c>
      <c r="G59" s="106">
        <f>C41</f>
        <v>591.71500000000003</v>
      </c>
      <c r="H59" s="107">
        <f t="shared" si="2"/>
        <v>18.404558134549458</v>
      </c>
    </row>
    <row r="60" spans="1:8">
      <c r="A60" s="105" t="s">
        <v>5</v>
      </c>
      <c r="B60" s="106">
        <f>B41</f>
        <v>3.6074999999999999</v>
      </c>
      <c r="C60" s="107">
        <f t="shared" si="3"/>
        <v>0.16948432975018715</v>
      </c>
      <c r="D60" s="165"/>
      <c r="F60" s="105" t="s">
        <v>4</v>
      </c>
      <c r="G60" s="106">
        <f>C42</f>
        <v>212.16494499999999</v>
      </c>
      <c r="H60" s="107">
        <f t="shared" si="2"/>
        <v>6.5991263773370434</v>
      </c>
    </row>
    <row r="61" spans="1:8">
      <c r="A61" s="105" t="s">
        <v>4</v>
      </c>
      <c r="B61" s="106">
        <f>B42</f>
        <v>229.85486499999999</v>
      </c>
      <c r="C61" s="107">
        <f t="shared" si="3"/>
        <v>10.798835130795496</v>
      </c>
      <c r="D61" s="165"/>
      <c r="F61" s="105" t="s">
        <v>22</v>
      </c>
      <c r="G61" s="106">
        <f>C43</f>
        <v>3.6960000000000002</v>
      </c>
      <c r="H61" s="107">
        <f t="shared" si="2"/>
        <v>0.11495947688548508</v>
      </c>
    </row>
    <row r="62" spans="1:8">
      <c r="A62" s="105" t="s">
        <v>22</v>
      </c>
      <c r="B62" s="106">
        <f>B43</f>
        <v>2.13</v>
      </c>
      <c r="C62" s="107">
        <f t="shared" si="3"/>
        <v>0.10006974979013129</v>
      </c>
      <c r="D62" s="165"/>
      <c r="F62" s="108" t="s">
        <v>20</v>
      </c>
      <c r="G62" s="109">
        <f>SUM(G52:G61)</f>
        <v>3215.0459449999998</v>
      </c>
      <c r="H62" s="110">
        <f>SUM(H52:H61)</f>
        <v>100.00000000000001</v>
      </c>
    </row>
    <row r="63" spans="1:8">
      <c r="A63" s="108" t="s">
        <v>20</v>
      </c>
      <c r="B63" s="109">
        <f>SUM(B52:B62)</f>
        <v>2128.5153650000002</v>
      </c>
      <c r="C63" s="110">
        <f>SUM(C52:C62)</f>
        <v>100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68">
        <f>(C68/SUM($C$68:$C$78))*100</f>
        <v>0</v>
      </c>
      <c r="F68" s="105" t="s">
        <v>10</v>
      </c>
      <c r="G68" s="107">
        <f>SUM(Z10,Z14)/Z$24*100</f>
        <v>19.87415913353081</v>
      </c>
    </row>
    <row r="69" spans="1:7">
      <c r="A69" s="105" t="s">
        <v>10</v>
      </c>
      <c r="B69" s="107">
        <f t="shared" ref="B69:B78" si="4">C69/$C$80*100</f>
        <v>1.5061426216773213</v>
      </c>
      <c r="C69" s="106">
        <f>R10</f>
        <v>6219.2920000000004</v>
      </c>
      <c r="D69" s="168">
        <f t="shared" ref="D69:D78" si="5">(C69/SUM($C$68:$C$78))*100</f>
        <v>1.8804503192220692</v>
      </c>
      <c r="F69" s="105" t="s">
        <v>9</v>
      </c>
      <c r="G69" s="107">
        <f>Z11/Z$24*100</f>
        <v>2.3639793569857761</v>
      </c>
    </row>
    <row r="70" spans="1:7">
      <c r="A70" s="105" t="s">
        <v>9</v>
      </c>
      <c r="B70" s="107">
        <f t="shared" si="4"/>
        <v>8.3629298420098621</v>
      </c>
      <c r="C70" s="106">
        <f>R11</f>
        <v>34532.92</v>
      </c>
      <c r="D70" s="168">
        <f t="shared" si="5"/>
        <v>10.441291458524567</v>
      </c>
      <c r="F70" s="105" t="s">
        <v>8</v>
      </c>
      <c r="G70" s="107">
        <f>Z12/Z$24*100</f>
        <v>14.577677660745142</v>
      </c>
    </row>
    <row r="71" spans="1:7">
      <c r="A71" s="105" t="s">
        <v>25</v>
      </c>
      <c r="B71" s="107">
        <f t="shared" si="4"/>
        <v>56.494629235937147</v>
      </c>
      <c r="C71" s="106">
        <f>R13</f>
        <v>233282.42</v>
      </c>
      <c r="D71" s="168">
        <f>(C71/SUM($C$68:$C$78))*100</f>
        <v>70.53471699960329</v>
      </c>
      <c r="F71" s="105" t="s">
        <v>25</v>
      </c>
      <c r="G71" s="107">
        <f>Z13/Z$24*100</f>
        <v>40.048334634589452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69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0.86833969516528242</v>
      </c>
      <c r="C73" s="106">
        <f>R19</f>
        <v>3585.6219999999998</v>
      </c>
      <c r="D73" s="168">
        <f t="shared" si="5"/>
        <v>1.0841401295372002</v>
      </c>
      <c r="F73" s="105" t="s">
        <v>12</v>
      </c>
      <c r="G73" s="107">
        <f>Z8/Z$24*100</f>
        <v>4.0807813009580501E-2</v>
      </c>
    </row>
    <row r="74" spans="1:7">
      <c r="A74" s="105" t="s">
        <v>55</v>
      </c>
      <c r="B74" s="107">
        <f t="shared" si="4"/>
        <v>2.3340317294792823</v>
      </c>
      <c r="C74" s="106">
        <f>R21</f>
        <v>9637.8819999999996</v>
      </c>
      <c r="D74" s="168">
        <f t="shared" si="5"/>
        <v>2.9140870509898282</v>
      </c>
      <c r="F74" s="105" t="s">
        <v>6</v>
      </c>
      <c r="G74" s="107">
        <f>Z15/Z$24*100</f>
        <v>0.22109147315381028</v>
      </c>
    </row>
    <row r="75" spans="1:7">
      <c r="A75" s="105" t="s">
        <v>54</v>
      </c>
      <c r="B75" s="107">
        <f t="shared" si="4"/>
        <v>2.3340317294792823</v>
      </c>
      <c r="C75" s="106">
        <f>R20</f>
        <v>9637.8819999999996</v>
      </c>
      <c r="D75" s="168">
        <f t="shared" si="5"/>
        <v>2.9140870509898282</v>
      </c>
      <c r="F75" s="105" t="s">
        <v>5</v>
      </c>
      <c r="G75" s="107">
        <f>Z16/Z$24*100</f>
        <v>18.272646541063487</v>
      </c>
    </row>
    <row r="76" spans="1:7">
      <c r="A76" s="105" t="s">
        <v>5</v>
      </c>
      <c r="B76" s="107">
        <f t="shared" si="4"/>
        <v>4.851929677092686E-2</v>
      </c>
      <c r="C76" s="106">
        <f>R16</f>
        <v>200.35</v>
      </c>
      <c r="D76" s="168">
        <f t="shared" si="5"/>
        <v>6.057734890983435E-2</v>
      </c>
      <c r="F76" s="105" t="s">
        <v>4</v>
      </c>
      <c r="G76" s="107">
        <f>Z17/Z$24*100</f>
        <v>4.4974777304837001</v>
      </c>
    </row>
    <row r="77" spans="1:7">
      <c r="A77" s="105" t="s">
        <v>4</v>
      </c>
      <c r="B77" s="107">
        <f t="shared" si="4"/>
        <v>8.1189619342589765</v>
      </c>
      <c r="C77" s="106">
        <f>R17</f>
        <v>33525.506999999998</v>
      </c>
      <c r="D77" s="168">
        <f t="shared" si="5"/>
        <v>10.136692462780603</v>
      </c>
      <c r="F77" s="105" t="s">
        <v>22</v>
      </c>
      <c r="G77" s="107">
        <f>Z18/Z$24*100</f>
        <v>0.10382565643823588</v>
      </c>
    </row>
    <row r="78" spans="1:7">
      <c r="A78" s="105" t="s">
        <v>22</v>
      </c>
      <c r="B78" s="107">
        <f t="shared" si="4"/>
        <v>2.7197929532065162E-2</v>
      </c>
      <c r="C78" s="106">
        <f>R18</f>
        <v>112.30800000000001</v>
      </c>
      <c r="D78" s="168">
        <f t="shared" si="5"/>
        <v>3.3957179442803478E-2</v>
      </c>
      <c r="F78" s="108" t="s">
        <v>20</v>
      </c>
      <c r="G78" s="110">
        <f>SUM(G68:G77)</f>
        <v>99.999999999999972</v>
      </c>
    </row>
    <row r="79" spans="1:7">
      <c r="A79" s="105" t="s">
        <v>21</v>
      </c>
      <c r="B79" s="107">
        <f>C79/$C$80*100</f>
        <v>19.905215985689885</v>
      </c>
      <c r="C79" s="106">
        <f>R23</f>
        <v>82194.308000000005</v>
      </c>
      <c r="D79" s="165"/>
    </row>
    <row r="80" spans="1:7">
      <c r="A80" s="108" t="s">
        <v>20</v>
      </c>
      <c r="B80" s="110">
        <f>SUM(B68:B79)</f>
        <v>100.00000000000003</v>
      </c>
      <c r="C80" s="109">
        <f>SUM(C68:C79)</f>
        <v>412928.49099999992</v>
      </c>
      <c r="D80" s="165"/>
    </row>
    <row r="85" spans="1:26" ht="15">
      <c r="A85" s="134"/>
      <c r="B85" s="134" t="s">
        <v>69</v>
      </c>
      <c r="C85" s="211" t="s">
        <v>13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/>
      <c r="T85"/>
      <c r="U85"/>
      <c r="V85"/>
      <c r="W85"/>
      <c r="X85"/>
      <c r="Y85"/>
      <c r="Z85"/>
    </row>
    <row r="86" spans="1:26" ht="15">
      <c r="A86" s="134"/>
      <c r="B86" s="132" t="s">
        <v>67</v>
      </c>
      <c r="C86" s="178" t="s">
        <v>106</v>
      </c>
      <c r="D86" s="178" t="s">
        <v>107</v>
      </c>
      <c r="E86" s="178" t="s">
        <v>108</v>
      </c>
      <c r="F86" s="178" t="s">
        <v>109</v>
      </c>
      <c r="G86" s="178" t="s">
        <v>110</v>
      </c>
      <c r="H86" s="178" t="s">
        <v>111</v>
      </c>
      <c r="I86" s="178" t="s">
        <v>112</v>
      </c>
      <c r="J86" s="178" t="s">
        <v>113</v>
      </c>
      <c r="K86" s="178" t="s">
        <v>114</v>
      </c>
      <c r="L86" s="178" t="s">
        <v>115</v>
      </c>
      <c r="M86" s="178" t="s">
        <v>116</v>
      </c>
      <c r="N86" s="178" t="s">
        <v>117</v>
      </c>
      <c r="O86" s="178" t="s">
        <v>118</v>
      </c>
      <c r="P86" s="178" t="s">
        <v>119</v>
      </c>
      <c r="Q86" s="178" t="s">
        <v>120</v>
      </c>
      <c r="R86" s="178" t="s">
        <v>124</v>
      </c>
      <c r="S86"/>
      <c r="T86"/>
      <c r="U86"/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/>
      <c r="T87"/>
      <c r="U87"/>
      <c r="V87"/>
      <c r="W87"/>
      <c r="X87"/>
      <c r="Y87"/>
      <c r="Z87"/>
    </row>
    <row r="88" spans="1:26" ht="15">
      <c r="A88" s="205" t="s">
        <v>57</v>
      </c>
      <c r="B88" s="133" t="s">
        <v>11</v>
      </c>
      <c r="C88" s="175">
        <v>-0.627467</v>
      </c>
      <c r="D88" s="175">
        <v>-0.58012699999999995</v>
      </c>
      <c r="E88" s="175">
        <v>-0.66887300000000005</v>
      </c>
      <c r="F88" s="175">
        <v>-0.60548299999999999</v>
      </c>
      <c r="G88" s="175">
        <v>-1.0302370000000001</v>
      </c>
      <c r="H88" s="175">
        <v>29.141857000000002</v>
      </c>
      <c r="I88" s="175">
        <v>50.189168000000002</v>
      </c>
      <c r="J88" s="175">
        <v>5.2653150000000002</v>
      </c>
      <c r="K88" s="175">
        <v>-0.60380599999999995</v>
      </c>
      <c r="L88" s="175">
        <v>-0.613232</v>
      </c>
      <c r="M88" s="175">
        <v>-0.58811800000000003</v>
      </c>
      <c r="N88" s="175">
        <v>-0.62679200000000002</v>
      </c>
      <c r="O88" s="175">
        <v>-0.72771799999999998</v>
      </c>
      <c r="P88" s="175">
        <v>-0.70697299999999996</v>
      </c>
      <c r="Q88" s="175">
        <v>-0.51834000000000002</v>
      </c>
      <c r="R88" s="175">
        <v>0</v>
      </c>
      <c r="S88"/>
      <c r="T88"/>
      <c r="U88"/>
      <c r="V88"/>
      <c r="W88"/>
      <c r="X88"/>
      <c r="Y88"/>
      <c r="Z88"/>
    </row>
    <row r="89" spans="1:26" ht="15">
      <c r="A89" s="206"/>
      <c r="B89" s="133" t="s">
        <v>78</v>
      </c>
      <c r="C89" s="175">
        <v>31.928664000000001</v>
      </c>
      <c r="D89" s="175">
        <v>27.287796</v>
      </c>
      <c r="E89" s="175">
        <v>26.627289999999999</v>
      </c>
      <c r="F89" s="175">
        <v>38.583128000000002</v>
      </c>
      <c r="G89" s="175">
        <v>43.134307</v>
      </c>
      <c r="H89" s="175">
        <v>52.984195999999997</v>
      </c>
      <c r="I89" s="175">
        <v>59.042844000000002</v>
      </c>
      <c r="J89" s="175">
        <v>60.455578000000003</v>
      </c>
      <c r="K89" s="175">
        <v>32.713324999999998</v>
      </c>
      <c r="L89" s="175">
        <v>17.166284999999998</v>
      </c>
      <c r="M89" s="175">
        <v>9.2819520000000004</v>
      </c>
      <c r="N89" s="175">
        <v>2.2104400000000002</v>
      </c>
      <c r="O89" s="175">
        <v>5.0179289999999996</v>
      </c>
      <c r="P89" s="175">
        <v>15.008727</v>
      </c>
      <c r="Q89" s="175">
        <v>6.2192920000000003</v>
      </c>
      <c r="R89" s="175">
        <v>1.4461299999999999</v>
      </c>
      <c r="S89"/>
      <c r="T89"/>
      <c r="U89"/>
      <c r="V89"/>
      <c r="W89"/>
      <c r="X89"/>
      <c r="Y89"/>
      <c r="Z89"/>
    </row>
    <row r="90" spans="1:26" ht="15">
      <c r="A90" s="206"/>
      <c r="B90" s="133" t="s">
        <v>9</v>
      </c>
      <c r="C90" s="175">
        <v>14.287952000000001</v>
      </c>
      <c r="D90" s="175">
        <v>12.016398000000001</v>
      </c>
      <c r="E90" s="175">
        <v>16.590530000000001</v>
      </c>
      <c r="F90" s="175">
        <v>16.923745</v>
      </c>
      <c r="G90" s="175">
        <v>26.908512000000002</v>
      </c>
      <c r="H90" s="175">
        <v>32.914068</v>
      </c>
      <c r="I90" s="175">
        <v>59.770274999999998</v>
      </c>
      <c r="J90" s="175">
        <v>67.567459999999997</v>
      </c>
      <c r="K90" s="175">
        <v>56.444971000000002</v>
      </c>
      <c r="L90" s="175">
        <v>42.597769999999997</v>
      </c>
      <c r="M90" s="175">
        <v>23.111573</v>
      </c>
      <c r="N90" s="175">
        <v>26.769898999999999</v>
      </c>
      <c r="O90" s="175">
        <v>49.385100000000001</v>
      </c>
      <c r="P90" s="175">
        <v>32.328426999999998</v>
      </c>
      <c r="Q90" s="175">
        <v>34.532919999999997</v>
      </c>
      <c r="R90" s="175">
        <v>9.4699980000000004</v>
      </c>
      <c r="S90"/>
      <c r="T90"/>
      <c r="U90"/>
      <c r="V90"/>
      <c r="W90"/>
      <c r="X90"/>
      <c r="Y90"/>
      <c r="Z90"/>
    </row>
    <row r="91" spans="1:26" ht="15">
      <c r="A91" s="206"/>
      <c r="B91" s="133" t="s">
        <v>25</v>
      </c>
      <c r="C91" s="175">
        <v>350.086611</v>
      </c>
      <c r="D91" s="175">
        <v>298.62258500000002</v>
      </c>
      <c r="E91" s="175">
        <v>331.00133499999998</v>
      </c>
      <c r="F91" s="175">
        <v>307.42903200000001</v>
      </c>
      <c r="G91" s="175">
        <v>317.55595499999998</v>
      </c>
      <c r="H91" s="175">
        <v>367.58788099999998</v>
      </c>
      <c r="I91" s="175">
        <v>396.959791</v>
      </c>
      <c r="J91" s="175">
        <v>456.377207</v>
      </c>
      <c r="K91" s="175">
        <v>377.07382699999999</v>
      </c>
      <c r="L91" s="175">
        <v>297.32130999999998</v>
      </c>
      <c r="M91" s="175">
        <v>234.47985499999999</v>
      </c>
      <c r="N91" s="175">
        <v>251.18496099999999</v>
      </c>
      <c r="O91" s="175">
        <v>236.33414099999999</v>
      </c>
      <c r="P91" s="175">
        <v>250.50749099999999</v>
      </c>
      <c r="Q91" s="175">
        <v>233.28242</v>
      </c>
      <c r="R91" s="175">
        <v>99.550262000000004</v>
      </c>
      <c r="S91"/>
      <c r="T91"/>
      <c r="U91"/>
      <c r="V91"/>
      <c r="W91"/>
      <c r="X91"/>
      <c r="Y91"/>
      <c r="Z91"/>
    </row>
    <row r="92" spans="1:26" ht="15">
      <c r="A92" s="206"/>
      <c r="B92" s="133" t="s">
        <v>24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2.6835830000000001</v>
      </c>
      <c r="J92" s="175">
        <v>4.441192</v>
      </c>
      <c r="K92" s="175">
        <v>4.0880280000000004</v>
      </c>
      <c r="L92" s="175">
        <v>0.904698</v>
      </c>
      <c r="M92" s="175">
        <v>0</v>
      </c>
      <c r="N92" s="175">
        <v>0</v>
      </c>
      <c r="O92" s="175">
        <v>0</v>
      </c>
      <c r="P92" s="175">
        <v>0</v>
      </c>
      <c r="Q92" s="175">
        <v>0</v>
      </c>
      <c r="R92" s="175">
        <v>0</v>
      </c>
      <c r="S92"/>
      <c r="T92"/>
      <c r="U92"/>
      <c r="V92"/>
      <c r="W92"/>
      <c r="X92"/>
      <c r="Y92"/>
      <c r="Z92"/>
    </row>
    <row r="93" spans="1:26" ht="15">
      <c r="A93" s="206"/>
      <c r="B93" s="133" t="s">
        <v>5</v>
      </c>
      <c r="C93" s="175">
        <v>0.215638</v>
      </c>
      <c r="D93" s="175">
        <v>0.22824</v>
      </c>
      <c r="E93" s="175">
        <v>0.33845999999999998</v>
      </c>
      <c r="F93" s="175">
        <v>0.239788</v>
      </c>
      <c r="G93" s="175">
        <v>0.16079099999999999</v>
      </c>
      <c r="H93" s="175">
        <v>6.1122000000000003E-2</v>
      </c>
      <c r="I93" s="175">
        <v>3.0289E-2</v>
      </c>
      <c r="J93" s="175">
        <v>3.2219999999999999E-2</v>
      </c>
      <c r="K93" s="175">
        <v>1.2760000000000001E-2</v>
      </c>
      <c r="L93" s="175">
        <v>2.8530000000000001E-3</v>
      </c>
      <c r="M93" s="175">
        <v>2.5883E-2</v>
      </c>
      <c r="N93" s="175">
        <v>0.100989</v>
      </c>
      <c r="O93" s="175">
        <v>0.21573000000000001</v>
      </c>
      <c r="P93" s="175">
        <v>0.18323999999999999</v>
      </c>
      <c r="Q93" s="175">
        <v>0.20035</v>
      </c>
      <c r="R93" s="175">
        <v>5.7270000000000001E-2</v>
      </c>
      <c r="S93"/>
      <c r="T93"/>
      <c r="U93"/>
      <c r="V93"/>
      <c r="W93"/>
      <c r="X93"/>
      <c r="Y93"/>
      <c r="Z93"/>
    </row>
    <row r="94" spans="1:26" ht="15">
      <c r="A94" s="206"/>
      <c r="B94" s="133" t="s">
        <v>4</v>
      </c>
      <c r="C94" s="175">
        <v>14.437344</v>
      </c>
      <c r="D94" s="175">
        <v>17.860306999999999</v>
      </c>
      <c r="E94" s="175">
        <v>13.718277</v>
      </c>
      <c r="F94" s="175">
        <v>22.443795999999999</v>
      </c>
      <c r="G94" s="175">
        <v>27.347473999999998</v>
      </c>
      <c r="H94" s="175">
        <v>29.225943999999998</v>
      </c>
      <c r="I94" s="175">
        <v>33.049954</v>
      </c>
      <c r="J94" s="175">
        <v>29.653044000000001</v>
      </c>
      <c r="K94" s="175">
        <v>25.055993000000001</v>
      </c>
      <c r="L94" s="175">
        <v>23.236149000000001</v>
      </c>
      <c r="M94" s="175">
        <v>17.029163</v>
      </c>
      <c r="N94" s="175">
        <v>14.799557</v>
      </c>
      <c r="O94" s="175">
        <v>18.141887000000001</v>
      </c>
      <c r="P94" s="175">
        <v>21.622358999999999</v>
      </c>
      <c r="Q94" s="175">
        <v>33.525506999999998</v>
      </c>
      <c r="R94" s="175">
        <v>16.785222000000001</v>
      </c>
      <c r="S94"/>
      <c r="T94"/>
      <c r="U94"/>
      <c r="V94"/>
      <c r="W94"/>
      <c r="X94"/>
      <c r="Y94"/>
      <c r="Z94"/>
    </row>
    <row r="95" spans="1:26" ht="15">
      <c r="A95" s="206"/>
      <c r="B95" s="133" t="s">
        <v>22</v>
      </c>
      <c r="C95" s="175">
        <v>0.285244</v>
      </c>
      <c r="D95" s="175">
        <v>0.28095199999999998</v>
      </c>
      <c r="E95" s="175">
        <v>0.29118100000000002</v>
      </c>
      <c r="F95" s="175">
        <v>0.16531499999999999</v>
      </c>
      <c r="G95" s="175">
        <v>0.166327</v>
      </c>
      <c r="H95" s="175">
        <v>0.111179</v>
      </c>
      <c r="I95" s="175">
        <v>9.5128000000000004E-2</v>
      </c>
      <c r="J95" s="175">
        <v>5.6752999999999998E-2</v>
      </c>
      <c r="K95" s="175">
        <v>7.1822999999999998E-2</v>
      </c>
      <c r="L95" s="175">
        <v>9.6991999999999995E-2</v>
      </c>
      <c r="M95" s="175">
        <v>8.4503999999999996E-2</v>
      </c>
      <c r="N95" s="175">
        <v>7.7099000000000001E-2</v>
      </c>
      <c r="O95" s="175">
        <v>9.3608999999999998E-2</v>
      </c>
      <c r="P95" s="175">
        <v>0.13599800000000001</v>
      </c>
      <c r="Q95" s="175">
        <v>0.11230800000000001</v>
      </c>
      <c r="R95" s="175">
        <v>5.663E-2</v>
      </c>
      <c r="S95"/>
      <c r="T95"/>
      <c r="U95"/>
      <c r="V95"/>
      <c r="W95"/>
      <c r="X95"/>
      <c r="Y95"/>
      <c r="Z95"/>
    </row>
    <row r="96" spans="1:26" ht="15">
      <c r="A96" s="206"/>
      <c r="B96" s="133" t="s">
        <v>23</v>
      </c>
      <c r="C96" s="175">
        <v>3.4010050000000001</v>
      </c>
      <c r="D96" s="175">
        <v>3.0684070000000001</v>
      </c>
      <c r="E96" s="175">
        <v>3.993204</v>
      </c>
      <c r="F96" s="175">
        <v>1.8386769999999999</v>
      </c>
      <c r="G96" s="175">
        <v>1.9461250000000001</v>
      </c>
      <c r="H96" s="175">
        <v>1.5363420000000001</v>
      </c>
      <c r="I96" s="175">
        <v>1.1719729999999999</v>
      </c>
      <c r="J96" s="175">
        <v>5.1333999999999998E-2</v>
      </c>
      <c r="K96" s="175">
        <v>2.0373130000000002</v>
      </c>
      <c r="L96" s="175">
        <v>1.826864</v>
      </c>
      <c r="M96" s="175">
        <v>2.5541079999999998</v>
      </c>
      <c r="N96" s="175">
        <v>2.6199620000000001</v>
      </c>
      <c r="O96" s="175">
        <v>3.055609</v>
      </c>
      <c r="P96" s="175">
        <v>3.0516040000000002</v>
      </c>
      <c r="Q96" s="175">
        <v>3.5856219999999999</v>
      </c>
      <c r="R96" s="175">
        <v>1.4268700000000001</v>
      </c>
      <c r="S96"/>
      <c r="T96"/>
      <c r="U96"/>
      <c r="V96"/>
      <c r="W96"/>
      <c r="X96"/>
      <c r="Y96"/>
      <c r="Z96"/>
    </row>
    <row r="97" spans="1:26" ht="15">
      <c r="A97" s="206"/>
      <c r="B97" s="133" t="s">
        <v>54</v>
      </c>
      <c r="C97" s="175">
        <v>9.8711500000000001</v>
      </c>
      <c r="D97" s="175">
        <v>5.4414375000000001</v>
      </c>
      <c r="E97" s="175">
        <v>9.6633200000000006</v>
      </c>
      <c r="F97" s="175">
        <v>7.8050050000000004</v>
      </c>
      <c r="G97" s="175">
        <v>11.846197500000001</v>
      </c>
      <c r="H97" s="175">
        <v>13.186323</v>
      </c>
      <c r="I97" s="175">
        <v>16.1606655</v>
      </c>
      <c r="J97" s="175">
        <v>13.6723105</v>
      </c>
      <c r="K97" s="175">
        <v>13.5816645</v>
      </c>
      <c r="L97" s="175">
        <v>11.230755</v>
      </c>
      <c r="M97" s="175">
        <v>10.188828000000001</v>
      </c>
      <c r="N97" s="175">
        <v>10.4136255</v>
      </c>
      <c r="O97" s="175">
        <v>7.3618245</v>
      </c>
      <c r="P97" s="175">
        <v>9.8298860000000001</v>
      </c>
      <c r="Q97" s="175">
        <v>9.6378819999999994</v>
      </c>
      <c r="R97" s="175">
        <v>4.64405</v>
      </c>
      <c r="S97"/>
      <c r="T97"/>
      <c r="U97"/>
      <c r="V97"/>
      <c r="W97"/>
      <c r="X97"/>
      <c r="Y97"/>
      <c r="Z97"/>
    </row>
    <row r="98" spans="1:26" ht="15">
      <c r="A98" s="206"/>
      <c r="B98" s="133" t="s">
        <v>55</v>
      </c>
      <c r="C98" s="175">
        <v>9.8711500000000001</v>
      </c>
      <c r="D98" s="175">
        <v>5.4414375000000001</v>
      </c>
      <c r="E98" s="175">
        <v>9.6633200000000006</v>
      </c>
      <c r="F98" s="175">
        <v>7.8050050000000004</v>
      </c>
      <c r="G98" s="175">
        <v>11.846197500000001</v>
      </c>
      <c r="H98" s="175">
        <v>13.186323</v>
      </c>
      <c r="I98" s="175">
        <v>16.1606655</v>
      </c>
      <c r="J98" s="175">
        <v>13.6723105</v>
      </c>
      <c r="K98" s="175">
        <v>13.5816645</v>
      </c>
      <c r="L98" s="175">
        <v>11.230755</v>
      </c>
      <c r="M98" s="175">
        <v>10.188828000000001</v>
      </c>
      <c r="N98" s="175">
        <v>10.4136255</v>
      </c>
      <c r="O98" s="175">
        <v>7.3618245</v>
      </c>
      <c r="P98" s="175">
        <v>9.8298860000000001</v>
      </c>
      <c r="Q98" s="175">
        <v>9.6378819999999994</v>
      </c>
      <c r="R98" s="175">
        <v>4.64405</v>
      </c>
      <c r="S98"/>
      <c r="T98"/>
      <c r="U98"/>
      <c r="V98"/>
      <c r="W98"/>
      <c r="X98"/>
      <c r="Y98"/>
      <c r="Z98"/>
    </row>
    <row r="99" spans="1:26" ht="15">
      <c r="A99" s="206"/>
      <c r="B99" s="137" t="s">
        <v>2</v>
      </c>
      <c r="C99" s="176">
        <v>433.75729100000001</v>
      </c>
      <c r="D99" s="176">
        <v>369.66743300000002</v>
      </c>
      <c r="E99" s="176">
        <v>411.21804400000002</v>
      </c>
      <c r="F99" s="176">
        <v>402.62800800000002</v>
      </c>
      <c r="G99" s="176">
        <v>439.88164899999998</v>
      </c>
      <c r="H99" s="176">
        <v>539.93523500000003</v>
      </c>
      <c r="I99" s="176">
        <v>635.31433600000003</v>
      </c>
      <c r="J99" s="176">
        <v>651.24472400000002</v>
      </c>
      <c r="K99" s="176">
        <v>524.05756299999996</v>
      </c>
      <c r="L99" s="176">
        <v>405.00119899999999</v>
      </c>
      <c r="M99" s="176">
        <v>306.35657600000002</v>
      </c>
      <c r="N99" s="176">
        <v>317.96336600000001</v>
      </c>
      <c r="O99" s="176">
        <v>326.239936</v>
      </c>
      <c r="P99" s="176">
        <v>341.79064499999998</v>
      </c>
      <c r="Q99" s="176">
        <v>330.21584300000001</v>
      </c>
      <c r="R99" s="176">
        <v>138.08048199999999</v>
      </c>
      <c r="S99"/>
      <c r="T99"/>
      <c r="U99"/>
      <c r="V99"/>
      <c r="W99"/>
      <c r="X99"/>
      <c r="Y99"/>
      <c r="Z99"/>
    </row>
    <row r="100" spans="1:26" ht="15">
      <c r="A100" s="206"/>
      <c r="B100" s="133" t="s">
        <v>21</v>
      </c>
      <c r="C100" s="175">
        <v>31.159338999999999</v>
      </c>
      <c r="D100" s="175">
        <v>27.502502</v>
      </c>
      <c r="E100" s="175">
        <v>30.689281000000001</v>
      </c>
      <c r="F100" s="175">
        <v>33.641058999999998</v>
      </c>
      <c r="G100" s="175">
        <v>32.047055999999998</v>
      </c>
      <c r="H100" s="175">
        <v>35.225064000000003</v>
      </c>
      <c r="I100" s="175">
        <v>67.033137999999994</v>
      </c>
      <c r="J100" s="175">
        <v>77.653036</v>
      </c>
      <c r="K100" s="175">
        <v>70.647335999999996</v>
      </c>
      <c r="L100" s="175">
        <v>61.365385000000003</v>
      </c>
      <c r="M100" s="175">
        <v>55.991686000000001</v>
      </c>
      <c r="N100" s="175">
        <v>79.778822000000005</v>
      </c>
      <c r="O100" s="175">
        <v>123.950131</v>
      </c>
      <c r="P100" s="175">
        <v>89.734262000000001</v>
      </c>
      <c r="Q100" s="175">
        <v>82.194308000000007</v>
      </c>
      <c r="R100" s="175">
        <v>38.281199999999998</v>
      </c>
      <c r="S100"/>
      <c r="T100"/>
      <c r="U100"/>
      <c r="V100"/>
      <c r="W100"/>
      <c r="X100"/>
      <c r="Y100"/>
      <c r="Z100"/>
    </row>
    <row r="101" spans="1:26" ht="15">
      <c r="A101" s="207"/>
      <c r="B101" s="137" t="s">
        <v>79</v>
      </c>
      <c r="C101" s="176">
        <v>464.91663</v>
      </c>
      <c r="D101" s="176">
        <v>397.16993500000001</v>
      </c>
      <c r="E101" s="176">
        <v>441.90732500000001</v>
      </c>
      <c r="F101" s="176">
        <v>436.26906700000001</v>
      </c>
      <c r="G101" s="176">
        <v>471.92870499999998</v>
      </c>
      <c r="H101" s="176">
        <v>575.16029900000001</v>
      </c>
      <c r="I101" s="176">
        <v>702.34747400000003</v>
      </c>
      <c r="J101" s="176">
        <v>728.89775999999995</v>
      </c>
      <c r="K101" s="176">
        <v>594.70489899999995</v>
      </c>
      <c r="L101" s="176">
        <v>466.36658399999999</v>
      </c>
      <c r="M101" s="176">
        <v>362.34826199999998</v>
      </c>
      <c r="N101" s="176">
        <v>397.742188</v>
      </c>
      <c r="O101" s="176">
        <v>450.190067</v>
      </c>
      <c r="P101" s="176">
        <v>431.52490699999998</v>
      </c>
      <c r="Q101" s="176">
        <v>412.41015099999998</v>
      </c>
      <c r="R101" s="176">
        <v>176.361682</v>
      </c>
      <c r="S101"/>
      <c r="T101"/>
      <c r="U101"/>
      <c r="V101"/>
      <c r="W101"/>
      <c r="X101"/>
      <c r="Y101"/>
      <c r="Z101"/>
    </row>
    <row r="102" spans="1:26" ht="15">
      <c r="A102" s="210" t="s">
        <v>58</v>
      </c>
      <c r="B102" s="133" t="s">
        <v>12</v>
      </c>
      <c r="C102" s="175">
        <v>0.294213</v>
      </c>
      <c r="D102" s="175">
        <v>0.25058200000000003</v>
      </c>
      <c r="E102" s="175">
        <v>0.29644599999999999</v>
      </c>
      <c r="F102" s="175">
        <v>0.27407199999999998</v>
      </c>
      <c r="G102" s="175">
        <v>0.29880499999999999</v>
      </c>
      <c r="H102" s="175">
        <v>0.28138299999999999</v>
      </c>
      <c r="I102" s="175">
        <v>0.29436099999999998</v>
      </c>
      <c r="J102" s="175">
        <v>0.29274699999999998</v>
      </c>
      <c r="K102" s="175">
        <v>0.28892499999999999</v>
      </c>
      <c r="L102" s="175">
        <v>0.29362700000000003</v>
      </c>
      <c r="M102" s="175">
        <v>0.27748800000000001</v>
      </c>
      <c r="N102" s="175">
        <v>0.28889599999999999</v>
      </c>
      <c r="O102" s="175">
        <v>0.27497500000000002</v>
      </c>
      <c r="P102" s="175">
        <v>0.25442500000000001</v>
      </c>
      <c r="Q102" s="175">
        <v>0.29023300000000002</v>
      </c>
      <c r="R102" s="175">
        <v>0</v>
      </c>
      <c r="S102"/>
      <c r="T102"/>
      <c r="U102"/>
      <c r="V102"/>
      <c r="W102"/>
      <c r="X102"/>
      <c r="Y102"/>
      <c r="Z102"/>
    </row>
    <row r="103" spans="1:26" ht="15">
      <c r="A103" s="206"/>
      <c r="B103" s="133" t="s">
        <v>78</v>
      </c>
      <c r="C103" s="175">
        <v>144.97616600000001</v>
      </c>
      <c r="D103" s="175">
        <v>129.27922799999999</v>
      </c>
      <c r="E103" s="175">
        <v>148.837288</v>
      </c>
      <c r="F103" s="175">
        <v>137.06189800000001</v>
      </c>
      <c r="G103" s="175">
        <v>142.20013900000001</v>
      </c>
      <c r="H103" s="175">
        <v>140.17607899999999</v>
      </c>
      <c r="I103" s="175">
        <v>145.16309200000001</v>
      </c>
      <c r="J103" s="175">
        <v>144.446313</v>
      </c>
      <c r="K103" s="175">
        <v>147.14426599999999</v>
      </c>
      <c r="L103" s="175">
        <v>153.68743499999999</v>
      </c>
      <c r="M103" s="175">
        <v>154.15621999999999</v>
      </c>
      <c r="N103" s="175">
        <v>168.11327800000001</v>
      </c>
      <c r="O103" s="175">
        <v>149.666676</v>
      </c>
      <c r="P103" s="175">
        <v>151.171696</v>
      </c>
      <c r="Q103" s="175">
        <v>141.36258799999999</v>
      </c>
      <c r="R103" s="175">
        <v>60.534036</v>
      </c>
      <c r="S103"/>
      <c r="T103"/>
      <c r="U103"/>
      <c r="V103"/>
      <c r="W103"/>
      <c r="X103"/>
      <c r="Y103"/>
      <c r="Z103"/>
    </row>
    <row r="104" spans="1:26" ht="15">
      <c r="A104" s="206"/>
      <c r="B104" s="133" t="s">
        <v>9</v>
      </c>
      <c r="C104" s="175">
        <v>20.1236</v>
      </c>
      <c r="D104" s="175">
        <v>22.304445000000001</v>
      </c>
      <c r="E104" s="175">
        <v>22.266978999999999</v>
      </c>
      <c r="F104" s="175">
        <v>17.593667</v>
      </c>
      <c r="G104" s="175">
        <v>15.375764</v>
      </c>
      <c r="H104" s="175">
        <v>14.745189</v>
      </c>
      <c r="I104" s="175">
        <v>19.947948</v>
      </c>
      <c r="J104" s="175">
        <v>17.951955999999999</v>
      </c>
      <c r="K104" s="175">
        <v>27.959973000000002</v>
      </c>
      <c r="L104" s="175">
        <v>36.672798</v>
      </c>
      <c r="M104" s="175">
        <v>23.967887999999999</v>
      </c>
      <c r="N104" s="175">
        <v>22.080762</v>
      </c>
      <c r="O104" s="175">
        <v>14.760491</v>
      </c>
      <c r="P104" s="175">
        <v>26.990496</v>
      </c>
      <c r="Q104" s="175">
        <v>16.813075000000001</v>
      </c>
      <c r="R104" s="175">
        <v>5.3084350000000002</v>
      </c>
      <c r="S104"/>
      <c r="T104"/>
      <c r="U104"/>
      <c r="V104"/>
      <c r="W104"/>
      <c r="X104"/>
      <c r="Y104"/>
      <c r="Z104"/>
    </row>
    <row r="105" spans="1:26" ht="15">
      <c r="A105" s="206"/>
      <c r="B105" s="133" t="s">
        <v>8</v>
      </c>
      <c r="C105" s="175">
        <v>117.429802</v>
      </c>
      <c r="D105" s="175">
        <v>102.630663</v>
      </c>
      <c r="E105" s="175">
        <v>114.410944</v>
      </c>
      <c r="F105" s="175">
        <v>103.636366</v>
      </c>
      <c r="G105" s="175">
        <v>86.849653000000004</v>
      </c>
      <c r="H105" s="175">
        <v>60.625902000000004</v>
      </c>
      <c r="I105" s="175">
        <v>73.213599000000002</v>
      </c>
      <c r="J105" s="175">
        <v>102.417012</v>
      </c>
      <c r="K105" s="175">
        <v>110.953991</v>
      </c>
      <c r="L105" s="175">
        <v>118.59882</v>
      </c>
      <c r="M105" s="175">
        <v>93.771169</v>
      </c>
      <c r="N105" s="175">
        <v>122.69665500000001</v>
      </c>
      <c r="O105" s="175">
        <v>118.030389</v>
      </c>
      <c r="P105" s="175">
        <v>118.052049</v>
      </c>
      <c r="Q105" s="175">
        <v>103.679242</v>
      </c>
      <c r="R105" s="175">
        <v>39.226118999999997</v>
      </c>
      <c r="S105"/>
      <c r="T105"/>
      <c r="U105"/>
      <c r="V105"/>
      <c r="W105"/>
      <c r="X105"/>
      <c r="Y105"/>
      <c r="Z105"/>
    </row>
    <row r="106" spans="1:26" ht="15">
      <c r="A106" s="206"/>
      <c r="B106" s="133" t="s">
        <v>25</v>
      </c>
      <c r="C106" s="175">
        <v>350.33219100000002</v>
      </c>
      <c r="D106" s="175">
        <v>285.34500700000001</v>
      </c>
      <c r="E106" s="175">
        <v>288.52109999999999</v>
      </c>
      <c r="F106" s="175">
        <v>265.37271800000002</v>
      </c>
      <c r="G106" s="175">
        <v>303.45663500000001</v>
      </c>
      <c r="H106" s="175">
        <v>283.58392400000002</v>
      </c>
      <c r="I106" s="175">
        <v>295.51749599999999</v>
      </c>
      <c r="J106" s="175">
        <v>269.79137200000002</v>
      </c>
      <c r="K106" s="175">
        <v>285.29845599999999</v>
      </c>
      <c r="L106" s="175">
        <v>305.38632699999999</v>
      </c>
      <c r="M106" s="175">
        <v>309.74341800000002</v>
      </c>
      <c r="N106" s="175">
        <v>347.66188299999999</v>
      </c>
      <c r="O106" s="175">
        <v>279.418815</v>
      </c>
      <c r="P106" s="175">
        <v>289.33312999999998</v>
      </c>
      <c r="Q106" s="175">
        <v>284.83144399999998</v>
      </c>
      <c r="R106" s="175">
        <v>112.977242</v>
      </c>
      <c r="S106"/>
      <c r="T106"/>
      <c r="U106"/>
      <c r="V106"/>
      <c r="W106"/>
      <c r="X106"/>
      <c r="Y106"/>
      <c r="Z106"/>
    </row>
    <row r="107" spans="1:26" ht="15">
      <c r="A107" s="206"/>
      <c r="B107" s="133" t="s">
        <v>24</v>
      </c>
      <c r="C107" s="175">
        <v>0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-7.7730000000000004E-3</v>
      </c>
      <c r="J107" s="175">
        <v>-1.2208999999999999E-2</v>
      </c>
      <c r="K107" s="175">
        <v>-1.1861999999999999E-2</v>
      </c>
      <c r="L107" s="175">
        <v>-7.5659999999999998E-3</v>
      </c>
      <c r="M107" s="175">
        <v>-1.2637000000000001E-2</v>
      </c>
      <c r="N107" s="175">
        <v>-1.3625E-2</v>
      </c>
      <c r="O107" s="175">
        <v>-1.3847999999999999E-2</v>
      </c>
      <c r="P107" s="175">
        <v>-9.9690000000000004E-3</v>
      </c>
      <c r="Q107" s="175">
        <v>-1.3753E-2</v>
      </c>
      <c r="R107" s="175">
        <v>0</v>
      </c>
      <c r="S107"/>
      <c r="T107"/>
      <c r="U107"/>
      <c r="V107"/>
      <c r="W107"/>
      <c r="X107"/>
      <c r="Y107"/>
      <c r="Z107"/>
    </row>
    <row r="108" spans="1:26" ht="15">
      <c r="A108" s="206"/>
      <c r="B108" s="133" t="s">
        <v>6</v>
      </c>
      <c r="C108" s="175">
        <v>1.110916</v>
      </c>
      <c r="D108" s="175">
        <v>1.4820450000000001</v>
      </c>
      <c r="E108" s="175">
        <v>2.1263230000000002</v>
      </c>
      <c r="F108" s="175">
        <v>1.7525280000000001</v>
      </c>
      <c r="G108" s="175">
        <v>1.9171739999999999</v>
      </c>
      <c r="H108" s="175">
        <v>2.44956</v>
      </c>
      <c r="I108" s="175">
        <v>3.5629430000000002</v>
      </c>
      <c r="J108" s="175">
        <v>3.5176750000000001</v>
      </c>
      <c r="K108" s="175">
        <v>2.0750950000000001</v>
      </c>
      <c r="L108" s="175">
        <v>1.3500719999999999</v>
      </c>
      <c r="M108" s="175">
        <v>1.1694089999999999</v>
      </c>
      <c r="N108" s="175">
        <v>0.36710399999999999</v>
      </c>
      <c r="O108" s="175">
        <v>1.6495040000000001</v>
      </c>
      <c r="P108" s="175">
        <v>0.82934099999999999</v>
      </c>
      <c r="Q108" s="175">
        <v>1.5724450000000001</v>
      </c>
      <c r="R108" s="175">
        <v>1.04542</v>
      </c>
      <c r="S108"/>
      <c r="T108"/>
      <c r="U108"/>
      <c r="V108"/>
      <c r="W108"/>
      <c r="X108"/>
      <c r="Y108"/>
      <c r="Z108"/>
    </row>
    <row r="109" spans="1:26" ht="15">
      <c r="A109" s="206"/>
      <c r="B109" s="133" t="s">
        <v>5</v>
      </c>
      <c r="C109" s="175">
        <v>60.12574</v>
      </c>
      <c r="D109" s="175">
        <v>88.964033999999998</v>
      </c>
      <c r="E109" s="175">
        <v>109.414616</v>
      </c>
      <c r="F109" s="175">
        <v>120.73900500000001</v>
      </c>
      <c r="G109" s="175">
        <v>116.77421</v>
      </c>
      <c r="H109" s="175">
        <v>159.50470799999999</v>
      </c>
      <c r="I109" s="175">
        <v>180.96485300000001</v>
      </c>
      <c r="J109" s="175">
        <v>183.70770899999999</v>
      </c>
      <c r="K109" s="175">
        <v>123.26133799999999</v>
      </c>
      <c r="L109" s="175">
        <v>85.114315000000005</v>
      </c>
      <c r="M109" s="175">
        <v>102.415227</v>
      </c>
      <c r="N109" s="175">
        <v>37.762255000000003</v>
      </c>
      <c r="O109" s="175">
        <v>131.99994699999999</v>
      </c>
      <c r="P109" s="175">
        <v>42.280110000000001</v>
      </c>
      <c r="Q109" s="175">
        <v>129.95857000000001</v>
      </c>
      <c r="R109" s="175">
        <v>66.518028000000001</v>
      </c>
      <c r="S109"/>
      <c r="T109"/>
      <c r="U109"/>
      <c r="V109"/>
      <c r="W109"/>
      <c r="X109"/>
      <c r="Y109"/>
      <c r="Z109"/>
    </row>
    <row r="110" spans="1:26" ht="15">
      <c r="A110" s="206"/>
      <c r="B110" s="133" t="s">
        <v>4</v>
      </c>
      <c r="C110" s="175">
        <v>18.056702999999999</v>
      </c>
      <c r="D110" s="175">
        <v>18.872744999999998</v>
      </c>
      <c r="E110" s="175">
        <v>25.047723999999999</v>
      </c>
      <c r="F110" s="175">
        <v>26.389223999999999</v>
      </c>
      <c r="G110" s="175">
        <v>32.969079000000001</v>
      </c>
      <c r="H110" s="175">
        <v>30.72391</v>
      </c>
      <c r="I110" s="175">
        <v>34.258988000000002</v>
      </c>
      <c r="J110" s="175">
        <v>32.216773000000003</v>
      </c>
      <c r="K110" s="175">
        <v>26.500267000000001</v>
      </c>
      <c r="L110" s="175">
        <v>26.61814</v>
      </c>
      <c r="M110" s="175">
        <v>23.099277000000001</v>
      </c>
      <c r="N110" s="175">
        <v>18.862687999999999</v>
      </c>
      <c r="O110" s="175">
        <v>22.058796999999998</v>
      </c>
      <c r="P110" s="175">
        <v>20.025044999999999</v>
      </c>
      <c r="Q110" s="175">
        <v>31.986924999999999</v>
      </c>
      <c r="R110" s="175">
        <v>12.525264</v>
      </c>
      <c r="S110"/>
      <c r="T110"/>
      <c r="U110"/>
      <c r="V110"/>
      <c r="W110"/>
      <c r="X110"/>
      <c r="Y110"/>
      <c r="Z110"/>
    </row>
    <row r="111" spans="1:26" ht="15">
      <c r="A111" s="206"/>
      <c r="B111" s="133" t="s">
        <v>22</v>
      </c>
      <c r="C111" s="175">
        <v>0.86053100000000005</v>
      </c>
      <c r="D111" s="175">
        <v>0.72069799999999995</v>
      </c>
      <c r="E111" s="175">
        <v>0.90984399999999999</v>
      </c>
      <c r="F111" s="175">
        <v>0.61352399999999996</v>
      </c>
      <c r="G111" s="175">
        <v>0.72146399999999999</v>
      </c>
      <c r="H111" s="175">
        <v>0.696106</v>
      </c>
      <c r="I111" s="175">
        <v>0.688222</v>
      </c>
      <c r="J111" s="175">
        <v>0.71531400000000001</v>
      </c>
      <c r="K111" s="175">
        <v>0.714812</v>
      </c>
      <c r="L111" s="175">
        <v>0.73132799999999998</v>
      </c>
      <c r="M111" s="175">
        <v>0.76498500000000003</v>
      </c>
      <c r="N111" s="175">
        <v>0.78453200000000001</v>
      </c>
      <c r="O111" s="175">
        <v>0.78413299999999997</v>
      </c>
      <c r="P111" s="175">
        <v>0.71108700000000002</v>
      </c>
      <c r="Q111" s="175">
        <v>0.73842799999999997</v>
      </c>
      <c r="R111" s="175">
        <v>0</v>
      </c>
      <c r="S111"/>
      <c r="T111"/>
      <c r="U111"/>
      <c r="V111"/>
      <c r="W111"/>
      <c r="X111"/>
      <c r="Y111"/>
      <c r="Z111"/>
    </row>
    <row r="112" spans="1:26" ht="15">
      <c r="A112" s="206"/>
      <c r="B112" s="133" t="s">
        <v>23</v>
      </c>
      <c r="C112" s="175">
        <v>0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  <c r="O112" s="175">
        <v>0</v>
      </c>
      <c r="P112" s="175">
        <v>0</v>
      </c>
      <c r="Q112" s="175">
        <v>0</v>
      </c>
      <c r="R112" s="175">
        <v>0</v>
      </c>
      <c r="S112"/>
      <c r="T112"/>
      <c r="U112"/>
      <c r="V112"/>
      <c r="W112"/>
      <c r="X112"/>
      <c r="Y112"/>
      <c r="Z112"/>
    </row>
    <row r="113" spans="1:26" ht="15">
      <c r="A113" s="206"/>
      <c r="B113" s="137" t="s">
        <v>2</v>
      </c>
      <c r="C113" s="176">
        <v>713.30986199999995</v>
      </c>
      <c r="D113" s="176">
        <v>649.84944700000005</v>
      </c>
      <c r="E113" s="176">
        <v>711.83126400000003</v>
      </c>
      <c r="F113" s="176">
        <v>673.43300199999999</v>
      </c>
      <c r="G113" s="176">
        <v>700.56292299999996</v>
      </c>
      <c r="H113" s="176">
        <v>692.78676099999996</v>
      </c>
      <c r="I113" s="176">
        <v>753.60372900000004</v>
      </c>
      <c r="J113" s="176">
        <v>755.04466200000002</v>
      </c>
      <c r="K113" s="176">
        <v>724.18526099999997</v>
      </c>
      <c r="L113" s="176">
        <v>728.44529599999998</v>
      </c>
      <c r="M113" s="176">
        <v>709.35244399999999</v>
      </c>
      <c r="N113" s="176">
        <v>718.60442799999998</v>
      </c>
      <c r="O113" s="176">
        <v>718.62987899999996</v>
      </c>
      <c r="P113" s="176">
        <v>649.63741000000005</v>
      </c>
      <c r="Q113" s="176">
        <v>711.21919700000001</v>
      </c>
      <c r="R113" s="176">
        <v>298.13454400000001</v>
      </c>
      <c r="S113"/>
      <c r="T113"/>
      <c r="U113"/>
      <c r="V113"/>
      <c r="W113"/>
      <c r="X113"/>
      <c r="Y113"/>
      <c r="Z113"/>
    </row>
    <row r="114" spans="1:26" ht="15">
      <c r="A114" s="207"/>
      <c r="B114" s="137" t="s">
        <v>79</v>
      </c>
      <c r="C114" s="176">
        <v>713.30986199999995</v>
      </c>
      <c r="D114" s="176">
        <v>649.84944700000005</v>
      </c>
      <c r="E114" s="176">
        <v>711.83126400000003</v>
      </c>
      <c r="F114" s="176">
        <v>673.43300199999999</v>
      </c>
      <c r="G114" s="176">
        <v>700.56292299999996</v>
      </c>
      <c r="H114" s="176">
        <v>692.78676099999996</v>
      </c>
      <c r="I114" s="176">
        <v>753.60372900000004</v>
      </c>
      <c r="J114" s="176">
        <v>755.04466200000002</v>
      </c>
      <c r="K114" s="176">
        <v>724.18526099999997</v>
      </c>
      <c r="L114" s="176">
        <v>728.44529599999998</v>
      </c>
      <c r="M114" s="176">
        <v>709.35244399999999</v>
      </c>
      <c r="N114" s="176">
        <v>718.60442799999998</v>
      </c>
      <c r="O114" s="176">
        <v>718.62987899999996</v>
      </c>
      <c r="P114" s="176">
        <v>649.63741000000005</v>
      </c>
      <c r="Q114" s="176">
        <v>711.21919700000001</v>
      </c>
      <c r="R114" s="176">
        <v>298.13454400000001</v>
      </c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3" t="s">
        <v>73</v>
      </c>
      <c r="C117" s="111" t="str">
        <f>TEXT(EDATE(D117,-1),"mmmm aaaa")</f>
        <v>marzo 2022</v>
      </c>
      <c r="D117" s="111" t="str">
        <f t="shared" ref="D117:M117" si="6">TEXT(EDATE(E117,-1),"mmmm aaaa")</f>
        <v>abril 2022</v>
      </c>
      <c r="E117" s="111" t="str">
        <f t="shared" si="6"/>
        <v>mayo 2022</v>
      </c>
      <c r="F117" s="111" t="str">
        <f t="shared" si="6"/>
        <v>junio 2022</v>
      </c>
      <c r="G117" s="111" t="str">
        <f t="shared" si="6"/>
        <v>julio 2022</v>
      </c>
      <c r="H117" s="111" t="str">
        <f t="shared" si="6"/>
        <v>agosto 2022</v>
      </c>
      <c r="I117" s="111" t="str">
        <f t="shared" si="6"/>
        <v>septiembre 2022</v>
      </c>
      <c r="J117" s="111" t="str">
        <f t="shared" si="6"/>
        <v>octubre 2022</v>
      </c>
      <c r="K117" s="111" t="str">
        <f t="shared" si="6"/>
        <v>noviembre 2022</v>
      </c>
      <c r="L117" s="111" t="str">
        <f t="shared" si="6"/>
        <v>diciembre 2022</v>
      </c>
      <c r="M117" s="111" t="str">
        <f t="shared" si="6"/>
        <v>enero 2023</v>
      </c>
      <c r="N117" s="111" t="str">
        <f>TEXT(EDATE(O117,-1),"mmmm aaaa")</f>
        <v>febrero 2023</v>
      </c>
      <c r="O117" s="112" t="str">
        <f>A2</f>
        <v>Marzo 2023</v>
      </c>
    </row>
    <row r="118" spans="1:26">
      <c r="B118" s="204"/>
      <c r="C118" s="121" t="str">
        <f>TEXT(EDATE($A$2,-12),"mmm")&amp;".-"&amp;TEXT(EDATE($A$2,-12),"aa")</f>
        <v>mar.-22</v>
      </c>
      <c r="D118" s="121" t="str">
        <f>TEXT(EDATE($A$2,-11),"mmm")&amp;".-"&amp;TEXT(EDATE($A$2,-11),"aa")</f>
        <v>abr.-22</v>
      </c>
      <c r="E118" s="121" t="str">
        <f>TEXT(EDATE($A$2,-10),"mmm")&amp;".-"&amp;TEXT(EDATE($A$2,-10),"aa")</f>
        <v>may.-22</v>
      </c>
      <c r="F118" s="121" t="str">
        <f>TEXT(EDATE($A$2,-9),"mmm")&amp;".-"&amp;TEXT(EDATE($A$2,-9),"aa")</f>
        <v>jun.-22</v>
      </c>
      <c r="G118" s="121" t="str">
        <f>TEXT(EDATE($A$2,-8),"mmm")&amp;".-"&amp;TEXT(EDATE($A$2,-8),"aa")</f>
        <v>jul.-22</v>
      </c>
      <c r="H118" s="121" t="str">
        <f>TEXT(EDATE($A$2,-7),"mmm")&amp;".-"&amp;TEXT(EDATE($A$2,-7),"aa")</f>
        <v>ago.-22</v>
      </c>
      <c r="I118" s="121" t="str">
        <f>TEXT(EDATE($A$2,-6),"mmm")&amp;".-"&amp;TEXT(EDATE($A$2,-6),"aa")</f>
        <v>sep.-22</v>
      </c>
      <c r="J118" s="121" t="str">
        <f>TEXT(EDATE($A$2,-5),"mmm")&amp;".-"&amp;TEXT(EDATE($A$2,-5),"aa")</f>
        <v>oct.-22</v>
      </c>
      <c r="K118" s="121" t="str">
        <f>TEXT(EDATE($A$2,-4),"mmm")&amp;".-"&amp;TEXT(EDATE($A$2,-4),"aa")</f>
        <v>nov.-22</v>
      </c>
      <c r="L118" s="121" t="str">
        <f>TEXT(EDATE($A$2,-3),"mmm")&amp;".-"&amp;TEXT(EDATE($A$2,-3),"aa")</f>
        <v>dic.-22</v>
      </c>
      <c r="M118" s="121" t="str">
        <f>TEXT(EDATE($A$2,-2),"mmm")&amp;".-"&amp;TEXT(EDATE($A$2,-2),"aa")</f>
        <v>ene.-23</v>
      </c>
      <c r="N118" s="121" t="str">
        <f>TEXT(EDATE($A$2,-1),"mmm")&amp;".-"&amp;TEXT(EDATE($A$2,-1),"aa")</f>
        <v>feb.-23</v>
      </c>
      <c r="O118" s="143" t="str">
        <f>TEXT($A$2,"mmm")&amp;".-"&amp;TEXT($A$2,"aa")</f>
        <v>mar.-23</v>
      </c>
    </row>
    <row r="119" spans="1:26">
      <c r="A119" s="200" t="s">
        <v>76</v>
      </c>
      <c r="B119" s="122" t="s">
        <v>11</v>
      </c>
      <c r="C119" s="123">
        <f>HLOOKUP(C$117,$86:$101,3,FALSE)</f>
        <v>-0.66887300000000005</v>
      </c>
      <c r="D119" s="123">
        <f t="shared" ref="D119:N119" si="7">HLOOKUP(D$117,$86:$101,3,FALSE)</f>
        <v>-0.60548299999999999</v>
      </c>
      <c r="E119" s="123">
        <f t="shared" si="7"/>
        <v>-1.0302370000000001</v>
      </c>
      <c r="F119" s="123">
        <f t="shared" si="7"/>
        <v>29.141857000000002</v>
      </c>
      <c r="G119" s="123">
        <f t="shared" si="7"/>
        <v>50.189168000000002</v>
      </c>
      <c r="H119" s="123">
        <f t="shared" si="7"/>
        <v>5.2653150000000002</v>
      </c>
      <c r="I119" s="123">
        <f t="shared" si="7"/>
        <v>-0.60380599999999995</v>
      </c>
      <c r="J119" s="123">
        <f t="shared" si="7"/>
        <v>-0.613232</v>
      </c>
      <c r="K119" s="123">
        <f t="shared" si="7"/>
        <v>-0.58811800000000003</v>
      </c>
      <c r="L119" s="123">
        <f t="shared" si="7"/>
        <v>-0.62679200000000002</v>
      </c>
      <c r="M119" s="123">
        <f t="shared" si="7"/>
        <v>-0.72771799999999998</v>
      </c>
      <c r="N119" s="123">
        <f t="shared" si="7"/>
        <v>-0.70697299999999996</v>
      </c>
      <c r="O119" s="124">
        <f>HLOOKUP(O$117,$86:$101,3,FALSE)</f>
        <v>-0.51834000000000002</v>
      </c>
    </row>
    <row r="120" spans="1:26">
      <c r="A120" s="201"/>
      <c r="B120" s="105" t="s">
        <v>10</v>
      </c>
      <c r="C120" s="107">
        <f>HLOOKUP(C$117,$86:$101,4,FALSE)</f>
        <v>26.627289999999999</v>
      </c>
      <c r="D120" s="107">
        <f t="shared" ref="D120:O120" si="8">HLOOKUP(D$117,$86:$101,4,FALSE)</f>
        <v>38.583128000000002</v>
      </c>
      <c r="E120" s="107">
        <f t="shared" si="8"/>
        <v>43.134307</v>
      </c>
      <c r="F120" s="107">
        <f t="shared" si="8"/>
        <v>52.984195999999997</v>
      </c>
      <c r="G120" s="107">
        <f t="shared" si="8"/>
        <v>59.042844000000002</v>
      </c>
      <c r="H120" s="107">
        <f t="shared" si="8"/>
        <v>60.455578000000003</v>
      </c>
      <c r="I120" s="107">
        <f t="shared" si="8"/>
        <v>32.713324999999998</v>
      </c>
      <c r="J120" s="107">
        <f t="shared" si="8"/>
        <v>17.166284999999998</v>
      </c>
      <c r="K120" s="107">
        <f t="shared" si="8"/>
        <v>9.2819520000000004</v>
      </c>
      <c r="L120" s="107">
        <f t="shared" si="8"/>
        <v>2.2104400000000002</v>
      </c>
      <c r="M120" s="107">
        <f t="shared" si="8"/>
        <v>5.0179289999999996</v>
      </c>
      <c r="N120" s="107">
        <f t="shared" si="8"/>
        <v>15.008727</v>
      </c>
      <c r="O120" s="124">
        <f t="shared" si="8"/>
        <v>6.2192920000000003</v>
      </c>
    </row>
    <row r="121" spans="1:26">
      <c r="A121" s="201"/>
      <c r="B121" s="105" t="s">
        <v>9</v>
      </c>
      <c r="C121" s="107">
        <f>HLOOKUP(C$117,$86:$101,5,FALSE)</f>
        <v>16.590530000000001</v>
      </c>
      <c r="D121" s="107">
        <f t="shared" ref="D121:O121" si="9">HLOOKUP(D$117,$86:$101,5,FALSE)</f>
        <v>16.923745</v>
      </c>
      <c r="E121" s="107">
        <f t="shared" si="9"/>
        <v>26.908512000000002</v>
      </c>
      <c r="F121" s="107">
        <f t="shared" si="9"/>
        <v>32.914068</v>
      </c>
      <c r="G121" s="107">
        <f t="shared" si="9"/>
        <v>59.770274999999998</v>
      </c>
      <c r="H121" s="107">
        <f t="shared" si="9"/>
        <v>67.567459999999997</v>
      </c>
      <c r="I121" s="107">
        <f t="shared" si="9"/>
        <v>56.444971000000002</v>
      </c>
      <c r="J121" s="107">
        <f t="shared" si="9"/>
        <v>42.597769999999997</v>
      </c>
      <c r="K121" s="107">
        <f t="shared" si="9"/>
        <v>23.111573</v>
      </c>
      <c r="L121" s="107">
        <f t="shared" si="9"/>
        <v>26.769898999999999</v>
      </c>
      <c r="M121" s="107">
        <f t="shared" si="9"/>
        <v>49.385100000000001</v>
      </c>
      <c r="N121" s="107">
        <f t="shared" si="9"/>
        <v>32.328426999999998</v>
      </c>
      <c r="O121" s="124">
        <f t="shared" si="9"/>
        <v>34.532919999999997</v>
      </c>
    </row>
    <row r="122" spans="1:26" ht="14.25">
      <c r="A122" s="201"/>
      <c r="B122" s="105" t="s">
        <v>74</v>
      </c>
      <c r="C122" s="107">
        <f>HLOOKUP(C$117,$86:$101,6,FALSE)</f>
        <v>331.00133499999998</v>
      </c>
      <c r="D122" s="107">
        <f t="shared" ref="D122:O122" si="10">HLOOKUP(D$117,$86:$101,6,FALSE)</f>
        <v>307.42903200000001</v>
      </c>
      <c r="E122" s="107">
        <f t="shared" si="10"/>
        <v>317.55595499999998</v>
      </c>
      <c r="F122" s="107">
        <f t="shared" si="10"/>
        <v>367.58788099999998</v>
      </c>
      <c r="G122" s="107">
        <f t="shared" si="10"/>
        <v>396.959791</v>
      </c>
      <c r="H122" s="107">
        <f t="shared" si="10"/>
        <v>456.377207</v>
      </c>
      <c r="I122" s="107">
        <f t="shared" si="10"/>
        <v>377.07382699999999</v>
      </c>
      <c r="J122" s="107">
        <f t="shared" si="10"/>
        <v>297.32130999999998</v>
      </c>
      <c r="K122" s="107">
        <f t="shared" si="10"/>
        <v>234.47985499999999</v>
      </c>
      <c r="L122" s="107">
        <f t="shared" si="10"/>
        <v>251.18496099999999</v>
      </c>
      <c r="M122" s="107">
        <f t="shared" si="10"/>
        <v>236.33414099999999</v>
      </c>
      <c r="N122" s="107">
        <f t="shared" si="10"/>
        <v>250.50749099999999</v>
      </c>
      <c r="O122" s="124">
        <f t="shared" si="10"/>
        <v>233.28242</v>
      </c>
    </row>
    <row r="123" spans="1:26">
      <c r="A123" s="201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2.6835830000000001</v>
      </c>
      <c r="H123" s="107">
        <f t="shared" si="11"/>
        <v>4.441192</v>
      </c>
      <c r="I123" s="107">
        <f t="shared" si="11"/>
        <v>4.0880280000000004</v>
      </c>
      <c r="J123" s="107">
        <f t="shared" si="11"/>
        <v>0.904698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1"/>
      <c r="B124" s="105" t="s">
        <v>5</v>
      </c>
      <c r="C124" s="107">
        <f>HLOOKUP(C$117,$86:$102,8,FALSE)</f>
        <v>0.33845999999999998</v>
      </c>
      <c r="D124" s="107">
        <f t="shared" ref="D124:O124" si="12">HLOOKUP(D$117,$86:$102,8,FALSE)</f>
        <v>0.239788</v>
      </c>
      <c r="E124" s="107">
        <f t="shared" si="12"/>
        <v>0.16079099999999999</v>
      </c>
      <c r="F124" s="107">
        <f t="shared" si="12"/>
        <v>6.1122000000000003E-2</v>
      </c>
      <c r="G124" s="107">
        <f t="shared" si="12"/>
        <v>3.0289E-2</v>
      </c>
      <c r="H124" s="107">
        <f t="shared" si="12"/>
        <v>3.2219999999999999E-2</v>
      </c>
      <c r="I124" s="107">
        <f t="shared" si="12"/>
        <v>1.2760000000000001E-2</v>
      </c>
      <c r="J124" s="107">
        <f t="shared" si="12"/>
        <v>2.8530000000000001E-3</v>
      </c>
      <c r="K124" s="107">
        <f t="shared" si="12"/>
        <v>2.5883E-2</v>
      </c>
      <c r="L124" s="107">
        <f t="shared" si="12"/>
        <v>0.100989</v>
      </c>
      <c r="M124" s="107">
        <f t="shared" si="12"/>
        <v>0.21573000000000001</v>
      </c>
      <c r="N124" s="107">
        <f t="shared" si="12"/>
        <v>0.18323999999999999</v>
      </c>
      <c r="O124" s="124">
        <f t="shared" si="12"/>
        <v>0.20035</v>
      </c>
    </row>
    <row r="125" spans="1:26">
      <c r="A125" s="201"/>
      <c r="B125" s="105" t="s">
        <v>4</v>
      </c>
      <c r="C125" s="107">
        <f>HLOOKUP(C$117,$86:$102,9,FALSE)</f>
        <v>13.718277</v>
      </c>
      <c r="D125" s="107">
        <f t="shared" ref="D125:O125" si="13">HLOOKUP(D$117,$86:$102,9,FALSE)</f>
        <v>22.443795999999999</v>
      </c>
      <c r="E125" s="107">
        <f t="shared" si="13"/>
        <v>27.347473999999998</v>
      </c>
      <c r="F125" s="107">
        <f t="shared" si="13"/>
        <v>29.225943999999998</v>
      </c>
      <c r="G125" s="107">
        <f t="shared" si="13"/>
        <v>33.049954</v>
      </c>
      <c r="H125" s="107">
        <f t="shared" si="13"/>
        <v>29.653044000000001</v>
      </c>
      <c r="I125" s="107">
        <f t="shared" si="13"/>
        <v>25.055993000000001</v>
      </c>
      <c r="J125" s="107">
        <f t="shared" si="13"/>
        <v>23.236149000000001</v>
      </c>
      <c r="K125" s="107">
        <f t="shared" si="13"/>
        <v>17.029163</v>
      </c>
      <c r="L125" s="107">
        <f t="shared" si="13"/>
        <v>14.799557</v>
      </c>
      <c r="M125" s="107">
        <f t="shared" si="13"/>
        <v>18.141887000000001</v>
      </c>
      <c r="N125" s="107">
        <f t="shared" si="13"/>
        <v>21.622358999999999</v>
      </c>
      <c r="O125" s="124">
        <f t="shared" si="13"/>
        <v>33.525506999999998</v>
      </c>
    </row>
    <row r="126" spans="1:26">
      <c r="A126" s="201"/>
      <c r="B126" s="113" t="s">
        <v>22</v>
      </c>
      <c r="C126" s="107">
        <f>HLOOKUP(C$117,$86:$102,10,FALSE)</f>
        <v>0.29118100000000002</v>
      </c>
      <c r="D126" s="107">
        <f t="shared" ref="D126:O126" si="14">HLOOKUP(D$117,$86:$102,10,FALSE)</f>
        <v>0.16531499999999999</v>
      </c>
      <c r="E126" s="107">
        <f t="shared" si="14"/>
        <v>0.166327</v>
      </c>
      <c r="F126" s="107">
        <f t="shared" si="14"/>
        <v>0.111179</v>
      </c>
      <c r="G126" s="107">
        <f t="shared" si="14"/>
        <v>9.5128000000000004E-2</v>
      </c>
      <c r="H126" s="107">
        <f t="shared" si="14"/>
        <v>5.6752999999999998E-2</v>
      </c>
      <c r="I126" s="107">
        <f t="shared" si="14"/>
        <v>7.1822999999999998E-2</v>
      </c>
      <c r="J126" s="107">
        <f t="shared" si="14"/>
        <v>9.6991999999999995E-2</v>
      </c>
      <c r="K126" s="107">
        <f t="shared" si="14"/>
        <v>8.4503999999999996E-2</v>
      </c>
      <c r="L126" s="107">
        <f t="shared" si="14"/>
        <v>7.7099000000000001E-2</v>
      </c>
      <c r="M126" s="107">
        <f t="shared" si="14"/>
        <v>9.3608999999999998E-2</v>
      </c>
      <c r="N126" s="107">
        <f t="shared" si="14"/>
        <v>0.13599800000000001</v>
      </c>
      <c r="O126" s="124">
        <f t="shared" si="14"/>
        <v>0.11230800000000001</v>
      </c>
    </row>
    <row r="127" spans="1:26">
      <c r="A127" s="201"/>
      <c r="B127" s="113" t="s">
        <v>23</v>
      </c>
      <c r="C127" s="107">
        <f>HLOOKUP(C$117,$86:$102,11,FALSE)</f>
        <v>3.993204</v>
      </c>
      <c r="D127" s="107">
        <f t="shared" ref="D127:O127" si="15">HLOOKUP(D$117,$86:$102,11,FALSE)</f>
        <v>1.8386769999999999</v>
      </c>
      <c r="E127" s="107">
        <f t="shared" si="15"/>
        <v>1.9461250000000001</v>
      </c>
      <c r="F127" s="107">
        <f t="shared" si="15"/>
        <v>1.5363420000000001</v>
      </c>
      <c r="G127" s="107">
        <f t="shared" si="15"/>
        <v>1.1719729999999999</v>
      </c>
      <c r="H127" s="107">
        <f t="shared" si="15"/>
        <v>5.1333999999999998E-2</v>
      </c>
      <c r="I127" s="107">
        <f t="shared" si="15"/>
        <v>2.0373130000000002</v>
      </c>
      <c r="J127" s="107">
        <f t="shared" si="15"/>
        <v>1.826864</v>
      </c>
      <c r="K127" s="107">
        <f t="shared" si="15"/>
        <v>2.5541079999999998</v>
      </c>
      <c r="L127" s="107">
        <f t="shared" si="15"/>
        <v>2.6199620000000001</v>
      </c>
      <c r="M127" s="107">
        <f t="shared" si="15"/>
        <v>3.055609</v>
      </c>
      <c r="N127" s="107">
        <f t="shared" si="15"/>
        <v>3.0516040000000002</v>
      </c>
      <c r="O127" s="124">
        <f t="shared" si="15"/>
        <v>3.5856219999999999</v>
      </c>
    </row>
    <row r="128" spans="1:26">
      <c r="A128" s="201"/>
      <c r="B128" s="105" t="s">
        <v>55</v>
      </c>
      <c r="C128" s="107">
        <f t="shared" ref="C128:O128" si="16">HLOOKUP(C$117,$86:$102,13,FALSE)</f>
        <v>9.6633200000000006</v>
      </c>
      <c r="D128" s="107">
        <f t="shared" si="16"/>
        <v>7.8050050000000004</v>
      </c>
      <c r="E128" s="107">
        <f t="shared" si="16"/>
        <v>11.846197500000001</v>
      </c>
      <c r="F128" s="107">
        <f t="shared" si="16"/>
        <v>13.186323</v>
      </c>
      <c r="G128" s="107">
        <f t="shared" si="16"/>
        <v>16.1606655</v>
      </c>
      <c r="H128" s="107">
        <f t="shared" si="16"/>
        <v>13.6723105</v>
      </c>
      <c r="I128" s="107">
        <f t="shared" si="16"/>
        <v>13.5816645</v>
      </c>
      <c r="J128" s="107">
        <f t="shared" si="16"/>
        <v>11.230755</v>
      </c>
      <c r="K128" s="107">
        <f t="shared" si="16"/>
        <v>10.188828000000001</v>
      </c>
      <c r="L128" s="107">
        <f t="shared" si="16"/>
        <v>10.4136255</v>
      </c>
      <c r="M128" s="107">
        <f t="shared" si="16"/>
        <v>7.3618245</v>
      </c>
      <c r="N128" s="107">
        <f t="shared" si="16"/>
        <v>9.8298860000000001</v>
      </c>
      <c r="O128" s="124">
        <f t="shared" si="16"/>
        <v>9.6378819999999994</v>
      </c>
    </row>
    <row r="129" spans="1:15">
      <c r="A129" s="201"/>
      <c r="B129" s="105" t="s">
        <v>54</v>
      </c>
      <c r="C129" s="107">
        <f>HLOOKUP(C$117,$86:$102,12,FALSE)</f>
        <v>9.6633200000000006</v>
      </c>
      <c r="D129" s="107">
        <f t="shared" ref="D129:O129" si="17">HLOOKUP(D$117,$86:$102,12,FALSE)</f>
        <v>7.8050050000000004</v>
      </c>
      <c r="E129" s="107">
        <f t="shared" si="17"/>
        <v>11.846197500000001</v>
      </c>
      <c r="F129" s="107">
        <f t="shared" si="17"/>
        <v>13.186323</v>
      </c>
      <c r="G129" s="107">
        <f t="shared" si="17"/>
        <v>16.1606655</v>
      </c>
      <c r="H129" s="107">
        <f t="shared" si="17"/>
        <v>13.6723105</v>
      </c>
      <c r="I129" s="107">
        <f t="shared" si="17"/>
        <v>13.5816645</v>
      </c>
      <c r="J129" s="107">
        <f t="shared" si="17"/>
        <v>11.230755</v>
      </c>
      <c r="K129" s="107">
        <f t="shared" si="17"/>
        <v>10.188828000000001</v>
      </c>
      <c r="L129" s="107">
        <f t="shared" si="17"/>
        <v>10.4136255</v>
      </c>
      <c r="M129" s="107">
        <f t="shared" si="17"/>
        <v>7.3618245</v>
      </c>
      <c r="N129" s="107">
        <f t="shared" si="17"/>
        <v>9.8298860000000001</v>
      </c>
      <c r="O129" s="124">
        <f t="shared" si="17"/>
        <v>9.6378819999999994</v>
      </c>
    </row>
    <row r="130" spans="1:15">
      <c r="A130" s="201"/>
      <c r="B130" s="114" t="s">
        <v>2</v>
      </c>
      <c r="C130" s="115">
        <f>HLOOKUP(C$117,$86:$102,14,FALSE)</f>
        <v>411.21804400000002</v>
      </c>
      <c r="D130" s="115">
        <f t="shared" ref="D130:O130" si="18">HLOOKUP(D$117,$86:$102,14,FALSE)</f>
        <v>402.62800800000002</v>
      </c>
      <c r="E130" s="115">
        <f t="shared" si="18"/>
        <v>439.88164899999998</v>
      </c>
      <c r="F130" s="115">
        <f t="shared" si="18"/>
        <v>539.93523500000003</v>
      </c>
      <c r="G130" s="115">
        <f t="shared" si="18"/>
        <v>635.31433600000003</v>
      </c>
      <c r="H130" s="115">
        <f t="shared" si="18"/>
        <v>651.24472400000002</v>
      </c>
      <c r="I130" s="115">
        <f t="shared" si="18"/>
        <v>524.05756299999996</v>
      </c>
      <c r="J130" s="115">
        <f t="shared" si="18"/>
        <v>405.00119899999999</v>
      </c>
      <c r="K130" s="115">
        <f t="shared" si="18"/>
        <v>306.35657600000002</v>
      </c>
      <c r="L130" s="115">
        <f t="shared" si="18"/>
        <v>317.96336600000001</v>
      </c>
      <c r="M130" s="115">
        <f t="shared" si="18"/>
        <v>326.239936</v>
      </c>
      <c r="N130" s="115">
        <f t="shared" si="18"/>
        <v>341.79064499999998</v>
      </c>
      <c r="O130" s="125">
        <f t="shared" si="18"/>
        <v>330.21584300000001</v>
      </c>
    </row>
    <row r="131" spans="1:15">
      <c r="A131" s="201"/>
      <c r="B131" s="105" t="s">
        <v>21</v>
      </c>
      <c r="C131" s="116">
        <f>HLOOKUP(C$117,$86:$102,15,FALSE)</f>
        <v>30.689281000000001</v>
      </c>
      <c r="D131" s="116">
        <f t="shared" ref="D131:O131" si="19">HLOOKUP(D$117,$86:$102,15,FALSE)</f>
        <v>33.641058999999998</v>
      </c>
      <c r="E131" s="116">
        <f t="shared" si="19"/>
        <v>32.047055999999998</v>
      </c>
      <c r="F131" s="116">
        <f t="shared" si="19"/>
        <v>35.225064000000003</v>
      </c>
      <c r="G131" s="116">
        <f t="shared" si="19"/>
        <v>67.033137999999994</v>
      </c>
      <c r="H131" s="116">
        <f t="shared" si="19"/>
        <v>77.653036</v>
      </c>
      <c r="I131" s="116">
        <f t="shared" si="19"/>
        <v>70.647335999999996</v>
      </c>
      <c r="J131" s="116">
        <f t="shared" si="19"/>
        <v>61.365385000000003</v>
      </c>
      <c r="K131" s="116">
        <f t="shared" si="19"/>
        <v>55.991686000000001</v>
      </c>
      <c r="L131" s="116">
        <f t="shared" si="19"/>
        <v>79.778822000000005</v>
      </c>
      <c r="M131" s="116">
        <f t="shared" si="19"/>
        <v>123.950131</v>
      </c>
      <c r="N131" s="116">
        <f t="shared" si="19"/>
        <v>89.734262000000001</v>
      </c>
      <c r="O131" s="116">
        <f t="shared" si="19"/>
        <v>82.194308000000007</v>
      </c>
    </row>
    <row r="132" spans="1:15">
      <c r="A132" s="201"/>
      <c r="B132" s="117" t="s">
        <v>1</v>
      </c>
      <c r="C132" s="118">
        <f>HLOOKUP(C$117,$86:$102,16,FALSE)</f>
        <v>441.90732500000001</v>
      </c>
      <c r="D132" s="118">
        <f t="shared" ref="D132:O132" si="20">HLOOKUP(D$117,$86:$102,16,FALSE)</f>
        <v>436.26906700000001</v>
      </c>
      <c r="E132" s="118">
        <f t="shared" si="20"/>
        <v>471.92870499999998</v>
      </c>
      <c r="F132" s="118">
        <f t="shared" si="20"/>
        <v>575.16029900000001</v>
      </c>
      <c r="G132" s="118">
        <f t="shared" si="20"/>
        <v>702.34747400000003</v>
      </c>
      <c r="H132" s="118">
        <f t="shared" si="20"/>
        <v>728.89775999999995</v>
      </c>
      <c r="I132" s="118">
        <f t="shared" si="20"/>
        <v>594.70489899999995</v>
      </c>
      <c r="J132" s="118">
        <f t="shared" si="20"/>
        <v>466.36658399999999</v>
      </c>
      <c r="K132" s="118">
        <f t="shared" si="20"/>
        <v>362.34826199999998</v>
      </c>
      <c r="L132" s="118">
        <f t="shared" si="20"/>
        <v>397.742188</v>
      </c>
      <c r="M132" s="118">
        <f t="shared" si="20"/>
        <v>450.190067</v>
      </c>
      <c r="N132" s="118">
        <f t="shared" si="20"/>
        <v>431.52490699999998</v>
      </c>
      <c r="O132" s="118">
        <f t="shared" si="20"/>
        <v>412.41015099999998</v>
      </c>
    </row>
    <row r="133" spans="1:15" ht="14.25">
      <c r="A133" s="202"/>
      <c r="B133" s="126" t="s">
        <v>75</v>
      </c>
      <c r="C133" s="127">
        <f>C120+C121+C123</f>
        <v>43.217820000000003</v>
      </c>
      <c r="D133" s="127">
        <f>D120+D121+D123</f>
        <v>55.506872999999999</v>
      </c>
      <c r="E133" s="127">
        <f t="shared" ref="E133:O133" si="21">E120+E121+E123</f>
        <v>70.042819000000009</v>
      </c>
      <c r="F133" s="127">
        <f t="shared" si="21"/>
        <v>85.898263999999998</v>
      </c>
      <c r="G133" s="127">
        <f t="shared" si="21"/>
        <v>121.496702</v>
      </c>
      <c r="H133" s="127">
        <f t="shared" si="21"/>
        <v>132.46422999999999</v>
      </c>
      <c r="I133" s="127">
        <f t="shared" si="21"/>
        <v>93.246324000000001</v>
      </c>
      <c r="J133" s="127">
        <f t="shared" si="21"/>
        <v>60.668753000000002</v>
      </c>
      <c r="K133" s="127">
        <f t="shared" si="21"/>
        <v>32.393524999999997</v>
      </c>
      <c r="L133" s="127">
        <f t="shared" si="21"/>
        <v>28.980339000000001</v>
      </c>
      <c r="M133" s="127">
        <f t="shared" si="21"/>
        <v>54.403029000000004</v>
      </c>
      <c r="N133" s="127">
        <f t="shared" si="21"/>
        <v>47.337153999999998</v>
      </c>
      <c r="O133" s="127">
        <f t="shared" si="21"/>
        <v>40.752212</v>
      </c>
    </row>
    <row r="134" spans="1:15">
      <c r="A134" s="200" t="s">
        <v>77</v>
      </c>
      <c r="B134" s="128" t="s">
        <v>73</v>
      </c>
      <c r="C134" s="111" t="str">
        <f>TEXT(EDATE($A$2,-12),"mmm")&amp;".-"&amp;TEXT(EDATE($A$2,-12),"aa")</f>
        <v>mar.-22</v>
      </c>
      <c r="D134" s="111" t="str">
        <f>TEXT(EDATE($A$2,-11),"mmm")&amp;".-"&amp;TEXT(EDATE($A$2,-11),"aa")</f>
        <v>abr.-22</v>
      </c>
      <c r="E134" s="111" t="str">
        <f>TEXT(EDATE($A$2,-10),"mmm")&amp;".-"&amp;TEXT(EDATE($A$2,-10),"aa")</f>
        <v>may.-22</v>
      </c>
      <c r="F134" s="111" t="str">
        <f>TEXT(EDATE($A$2,-9),"mmm")&amp;".-"&amp;TEXT(EDATE($A$2,-9),"aa")</f>
        <v>jun.-22</v>
      </c>
      <c r="G134" s="111" t="str">
        <f>TEXT(EDATE($A$2,-8),"mmm")&amp;".-"&amp;TEXT(EDATE($A$2,-8),"aa")</f>
        <v>jul.-22</v>
      </c>
      <c r="H134" s="111" t="str">
        <f>TEXT(EDATE($A$2,-7),"mmm")&amp;".-"&amp;TEXT(EDATE($A$2,-7),"aa")</f>
        <v>ago.-22</v>
      </c>
      <c r="I134" s="111" t="str">
        <f>TEXT(EDATE($A$2,-6),"mmm")&amp;".-"&amp;TEXT(EDATE($A$2,-6),"aa")</f>
        <v>sep.-22</v>
      </c>
      <c r="J134" s="111" t="str">
        <f>TEXT(EDATE($A$2,-5),"mmm")&amp;".-"&amp;TEXT(EDATE($A$2,-5),"aa")</f>
        <v>oct.-22</v>
      </c>
      <c r="K134" s="111" t="str">
        <f>TEXT(EDATE($A$2,-4),"mmm")&amp;".-"&amp;TEXT(EDATE($A$2,-4),"aa")</f>
        <v>nov.-22</v>
      </c>
      <c r="L134" s="111" t="str">
        <f>TEXT(EDATE($A$2,-3),"mmm")&amp;".-"&amp;TEXT(EDATE($A$2,-3),"aa")</f>
        <v>dic.-22</v>
      </c>
      <c r="M134" s="111" t="str">
        <f>TEXT(EDATE($A$2,-2),"mmm")&amp;".-"&amp;TEXT(EDATE($A$2,-2),"aa")</f>
        <v>ene.-23</v>
      </c>
      <c r="N134" s="111" t="str">
        <f>TEXT(EDATE($A$2,-1),"mmm")&amp;".-"&amp;TEXT(EDATE($A$2,-1),"aa")</f>
        <v>feb.-23</v>
      </c>
      <c r="O134" s="112" t="str">
        <f>TEXT($A$2,"mmm")&amp;".-"&amp;TEXT($A$2,"aa")</f>
        <v>mar.-23</v>
      </c>
    </row>
    <row r="135" spans="1:15" ht="15" customHeight="1">
      <c r="A135" s="201"/>
      <c r="B135" s="105" t="s">
        <v>12</v>
      </c>
      <c r="C135" s="107">
        <f>HLOOKUP(C$117,$86:$115,17,FALSE)</f>
        <v>0.29644599999999999</v>
      </c>
      <c r="D135" s="107">
        <f t="shared" ref="D135:N135" si="22">HLOOKUP(D$117,$86:$115,17,FALSE)</f>
        <v>0.27407199999999998</v>
      </c>
      <c r="E135" s="107">
        <f t="shared" si="22"/>
        <v>0.29880499999999999</v>
      </c>
      <c r="F135" s="107">
        <f t="shared" si="22"/>
        <v>0.28138299999999999</v>
      </c>
      <c r="G135" s="107">
        <f t="shared" si="22"/>
        <v>0.29436099999999998</v>
      </c>
      <c r="H135" s="107">
        <f t="shared" si="22"/>
        <v>0.29274699999999998</v>
      </c>
      <c r="I135" s="107">
        <f t="shared" si="22"/>
        <v>0.28892499999999999</v>
      </c>
      <c r="J135" s="107">
        <f t="shared" si="22"/>
        <v>0.29362700000000003</v>
      </c>
      <c r="K135" s="107">
        <f t="shared" si="22"/>
        <v>0.27748800000000001</v>
      </c>
      <c r="L135" s="107">
        <f t="shared" si="22"/>
        <v>0.28889599999999999</v>
      </c>
      <c r="M135" s="107">
        <f t="shared" si="22"/>
        <v>0.27497500000000002</v>
      </c>
      <c r="N135" s="107">
        <f t="shared" si="22"/>
        <v>0.25442500000000001</v>
      </c>
      <c r="O135" s="144">
        <f>HLOOKUP(O$117,$86:$115,17,FALSE)</f>
        <v>0.29023300000000002</v>
      </c>
    </row>
    <row r="136" spans="1:15">
      <c r="A136" s="201"/>
      <c r="B136" s="105" t="s">
        <v>10</v>
      </c>
      <c r="C136" s="107">
        <f>HLOOKUP(C$117,$86:$115,18,FALSE)+HLOOKUP(C$117,$86:$115,22,FALSE)</f>
        <v>148.837288</v>
      </c>
      <c r="D136" s="107">
        <f>HLOOKUP(D$117,$86:$115,18,FALSE)+HLOOKUP(D$117,$86:$115,22,FALSE)</f>
        <v>137.06189800000001</v>
      </c>
      <c r="E136" s="107">
        <f t="shared" ref="E136:N136" si="23">HLOOKUP(E$117,$86:$115,18,FALSE)+HLOOKUP(E$117,$86:$115,22,FALSE)</f>
        <v>142.20013900000001</v>
      </c>
      <c r="F136" s="107">
        <f t="shared" si="23"/>
        <v>140.17607899999999</v>
      </c>
      <c r="G136" s="107">
        <f t="shared" si="23"/>
        <v>145.15531900000002</v>
      </c>
      <c r="H136" s="107">
        <f t="shared" si="23"/>
        <v>144.43410399999999</v>
      </c>
      <c r="I136" s="107">
        <f t="shared" si="23"/>
        <v>147.13240399999998</v>
      </c>
      <c r="J136" s="107">
        <f t="shared" si="23"/>
        <v>153.679869</v>
      </c>
      <c r="K136" s="107">
        <f t="shared" si="23"/>
        <v>154.14358299999998</v>
      </c>
      <c r="L136" s="107">
        <f t="shared" si="23"/>
        <v>168.09965300000002</v>
      </c>
      <c r="M136" s="107">
        <f t="shared" si="23"/>
        <v>149.652828</v>
      </c>
      <c r="N136" s="107">
        <f t="shared" si="23"/>
        <v>151.16172699999998</v>
      </c>
      <c r="O136" s="124">
        <f>HLOOKUP(O$117,$86:$115,18,FALSE)+HLOOKUP(O$117,$86:$115,22,FALSE)</f>
        <v>141.34883499999998</v>
      </c>
    </row>
    <row r="137" spans="1:15">
      <c r="A137" s="201"/>
      <c r="B137" s="105" t="s">
        <v>9</v>
      </c>
      <c r="C137" s="107">
        <f>HLOOKUP(C$117,$86:$115,19,FALSE)</f>
        <v>22.266978999999999</v>
      </c>
      <c r="D137" s="107">
        <f t="shared" ref="D137:O137" si="24">HLOOKUP(D$117,$86:$115,19,FALSE)</f>
        <v>17.593667</v>
      </c>
      <c r="E137" s="107">
        <f t="shared" si="24"/>
        <v>15.375764</v>
      </c>
      <c r="F137" s="107">
        <f t="shared" si="24"/>
        <v>14.745189</v>
      </c>
      <c r="G137" s="107">
        <f t="shared" si="24"/>
        <v>19.947948</v>
      </c>
      <c r="H137" s="107">
        <f t="shared" si="24"/>
        <v>17.951955999999999</v>
      </c>
      <c r="I137" s="107">
        <f t="shared" si="24"/>
        <v>27.959973000000002</v>
      </c>
      <c r="J137" s="107">
        <f t="shared" si="24"/>
        <v>36.672798</v>
      </c>
      <c r="K137" s="107">
        <f t="shared" si="24"/>
        <v>23.967887999999999</v>
      </c>
      <c r="L137" s="107">
        <f t="shared" si="24"/>
        <v>22.080762</v>
      </c>
      <c r="M137" s="107">
        <f t="shared" si="24"/>
        <v>14.760491</v>
      </c>
      <c r="N137" s="107">
        <f t="shared" si="24"/>
        <v>26.990496</v>
      </c>
      <c r="O137" s="124">
        <f t="shared" si="24"/>
        <v>16.813075000000001</v>
      </c>
    </row>
    <row r="138" spans="1:15">
      <c r="A138" s="201"/>
      <c r="B138" s="105" t="s">
        <v>8</v>
      </c>
      <c r="C138" s="107">
        <f>HLOOKUP(C$117,$86:$115,20,FALSE)</f>
        <v>114.410944</v>
      </c>
      <c r="D138" s="107">
        <f t="shared" ref="D138:O138" si="25">HLOOKUP(D$117,$86:$115,20,FALSE)</f>
        <v>103.636366</v>
      </c>
      <c r="E138" s="107">
        <f t="shared" si="25"/>
        <v>86.849653000000004</v>
      </c>
      <c r="F138" s="107">
        <f t="shared" si="25"/>
        <v>60.625902000000004</v>
      </c>
      <c r="G138" s="107">
        <f t="shared" si="25"/>
        <v>73.213599000000002</v>
      </c>
      <c r="H138" s="107">
        <f t="shared" si="25"/>
        <v>102.417012</v>
      </c>
      <c r="I138" s="107">
        <f t="shared" si="25"/>
        <v>110.953991</v>
      </c>
      <c r="J138" s="107">
        <f t="shared" si="25"/>
        <v>118.59882</v>
      </c>
      <c r="K138" s="107">
        <f t="shared" si="25"/>
        <v>93.771169</v>
      </c>
      <c r="L138" s="107">
        <f t="shared" si="25"/>
        <v>122.69665500000001</v>
      </c>
      <c r="M138" s="107">
        <f t="shared" si="25"/>
        <v>118.030389</v>
      </c>
      <c r="N138" s="107">
        <f t="shared" si="25"/>
        <v>118.052049</v>
      </c>
      <c r="O138" s="124">
        <f t="shared" si="25"/>
        <v>103.679242</v>
      </c>
    </row>
    <row r="139" spans="1:15" ht="14.25">
      <c r="A139" s="201"/>
      <c r="B139" s="105" t="s">
        <v>74</v>
      </c>
      <c r="C139" s="107">
        <f>HLOOKUP(C$117,$86:$115,21,FALSE)</f>
        <v>288.52109999999999</v>
      </c>
      <c r="D139" s="107">
        <f t="shared" ref="D139:O139" si="26">HLOOKUP(D$117,$86:$115,21,FALSE)</f>
        <v>265.37271800000002</v>
      </c>
      <c r="E139" s="107">
        <f t="shared" si="26"/>
        <v>303.45663500000001</v>
      </c>
      <c r="F139" s="107">
        <f t="shared" si="26"/>
        <v>283.58392400000002</v>
      </c>
      <c r="G139" s="107">
        <f t="shared" si="26"/>
        <v>295.51749599999999</v>
      </c>
      <c r="H139" s="107">
        <f t="shared" si="26"/>
        <v>269.79137200000002</v>
      </c>
      <c r="I139" s="107">
        <f t="shared" si="26"/>
        <v>285.29845599999999</v>
      </c>
      <c r="J139" s="107">
        <f t="shared" si="26"/>
        <v>305.38632699999999</v>
      </c>
      <c r="K139" s="107">
        <f t="shared" si="26"/>
        <v>309.74341800000002</v>
      </c>
      <c r="L139" s="107">
        <f t="shared" si="26"/>
        <v>347.66188299999999</v>
      </c>
      <c r="M139" s="107">
        <f t="shared" si="26"/>
        <v>279.418815</v>
      </c>
      <c r="N139" s="107">
        <f t="shared" si="26"/>
        <v>289.33312999999998</v>
      </c>
      <c r="O139" s="124">
        <f t="shared" si="26"/>
        <v>284.83144399999998</v>
      </c>
    </row>
    <row r="140" spans="1:15">
      <c r="A140" s="201"/>
      <c r="B140" s="105" t="s">
        <v>6</v>
      </c>
      <c r="C140" s="107">
        <f>HLOOKUP(C$117,$86:$115,23,FALSE)</f>
        <v>2.1263230000000002</v>
      </c>
      <c r="D140" s="107">
        <f t="shared" ref="D140:O140" si="27">HLOOKUP(D$117,$86:$115,23,FALSE)</f>
        <v>1.7525280000000001</v>
      </c>
      <c r="E140" s="107">
        <f t="shared" si="27"/>
        <v>1.9171739999999999</v>
      </c>
      <c r="F140" s="107">
        <f t="shared" si="27"/>
        <v>2.44956</v>
      </c>
      <c r="G140" s="107">
        <f t="shared" si="27"/>
        <v>3.5629430000000002</v>
      </c>
      <c r="H140" s="107">
        <f t="shared" si="27"/>
        <v>3.5176750000000001</v>
      </c>
      <c r="I140" s="107">
        <f t="shared" si="27"/>
        <v>2.0750950000000001</v>
      </c>
      <c r="J140" s="107">
        <f t="shared" si="27"/>
        <v>1.3500719999999999</v>
      </c>
      <c r="K140" s="107">
        <f t="shared" si="27"/>
        <v>1.1694089999999999</v>
      </c>
      <c r="L140" s="107">
        <f t="shared" si="27"/>
        <v>0.36710399999999999</v>
      </c>
      <c r="M140" s="107">
        <f t="shared" si="27"/>
        <v>1.6495040000000001</v>
      </c>
      <c r="N140" s="107">
        <f t="shared" si="27"/>
        <v>0.82934099999999999</v>
      </c>
      <c r="O140" s="124">
        <f t="shared" si="27"/>
        <v>1.5724450000000001</v>
      </c>
    </row>
    <row r="141" spans="1:15">
      <c r="A141" s="201"/>
      <c r="B141" s="105" t="s">
        <v>5</v>
      </c>
      <c r="C141" s="107">
        <f>HLOOKUP(C$117,$86:$115,24,FALSE)</f>
        <v>109.414616</v>
      </c>
      <c r="D141" s="107">
        <f t="shared" ref="D141:O141" si="28">HLOOKUP(D$117,$86:$115,24,FALSE)</f>
        <v>120.73900500000001</v>
      </c>
      <c r="E141" s="107">
        <f t="shared" si="28"/>
        <v>116.77421</v>
      </c>
      <c r="F141" s="107">
        <f t="shared" si="28"/>
        <v>159.50470799999999</v>
      </c>
      <c r="G141" s="107">
        <f t="shared" si="28"/>
        <v>180.96485300000001</v>
      </c>
      <c r="H141" s="107">
        <f t="shared" si="28"/>
        <v>183.70770899999999</v>
      </c>
      <c r="I141" s="107">
        <f t="shared" si="28"/>
        <v>123.26133799999999</v>
      </c>
      <c r="J141" s="107">
        <f t="shared" si="28"/>
        <v>85.114315000000005</v>
      </c>
      <c r="K141" s="107">
        <f t="shared" si="28"/>
        <v>102.415227</v>
      </c>
      <c r="L141" s="107">
        <f t="shared" si="28"/>
        <v>37.762255000000003</v>
      </c>
      <c r="M141" s="107">
        <f t="shared" si="28"/>
        <v>131.99994699999999</v>
      </c>
      <c r="N141" s="107">
        <f t="shared" si="28"/>
        <v>42.280110000000001</v>
      </c>
      <c r="O141" s="124">
        <f t="shared" si="28"/>
        <v>129.95857000000001</v>
      </c>
    </row>
    <row r="142" spans="1:15">
      <c r="A142" s="201"/>
      <c r="B142" s="105" t="s">
        <v>4</v>
      </c>
      <c r="C142" s="107">
        <f>HLOOKUP(C$117,$86:$115,25,FALSE)</f>
        <v>25.047723999999999</v>
      </c>
      <c r="D142" s="107">
        <f t="shared" ref="D142:O142" si="29">HLOOKUP(D$117,$86:$115,25,FALSE)</f>
        <v>26.389223999999999</v>
      </c>
      <c r="E142" s="107">
        <f t="shared" si="29"/>
        <v>32.969079000000001</v>
      </c>
      <c r="F142" s="107">
        <f t="shared" si="29"/>
        <v>30.72391</v>
      </c>
      <c r="G142" s="107">
        <f t="shared" si="29"/>
        <v>34.258988000000002</v>
      </c>
      <c r="H142" s="107">
        <f t="shared" si="29"/>
        <v>32.216773000000003</v>
      </c>
      <c r="I142" s="107">
        <f t="shared" si="29"/>
        <v>26.500267000000001</v>
      </c>
      <c r="J142" s="107">
        <f t="shared" si="29"/>
        <v>26.61814</v>
      </c>
      <c r="K142" s="107">
        <f t="shared" si="29"/>
        <v>23.099277000000001</v>
      </c>
      <c r="L142" s="107">
        <f t="shared" si="29"/>
        <v>18.862687999999999</v>
      </c>
      <c r="M142" s="107">
        <f t="shared" si="29"/>
        <v>22.058796999999998</v>
      </c>
      <c r="N142" s="107">
        <f t="shared" si="29"/>
        <v>20.025044999999999</v>
      </c>
      <c r="O142" s="124">
        <f t="shared" si="29"/>
        <v>31.986924999999999</v>
      </c>
    </row>
    <row r="143" spans="1:15">
      <c r="A143" s="201"/>
      <c r="B143" s="105" t="s">
        <v>22</v>
      </c>
      <c r="C143" s="107">
        <f>HLOOKUP(C$117,$86:$115,26,FALSE)</f>
        <v>0.90984399999999999</v>
      </c>
      <c r="D143" s="107">
        <f t="shared" ref="D143:O143" si="30">HLOOKUP(D$117,$86:$115,26,FALSE)</f>
        <v>0.61352399999999996</v>
      </c>
      <c r="E143" s="107">
        <f t="shared" si="30"/>
        <v>0.72146399999999999</v>
      </c>
      <c r="F143" s="107">
        <f t="shared" si="30"/>
        <v>0.696106</v>
      </c>
      <c r="G143" s="107">
        <f t="shared" si="30"/>
        <v>0.688222</v>
      </c>
      <c r="H143" s="107">
        <f t="shared" si="30"/>
        <v>0.71531400000000001</v>
      </c>
      <c r="I143" s="107">
        <f t="shared" si="30"/>
        <v>0.714812</v>
      </c>
      <c r="J143" s="107">
        <f t="shared" si="30"/>
        <v>0.73132799999999998</v>
      </c>
      <c r="K143" s="107">
        <f t="shared" si="30"/>
        <v>0.76498500000000003</v>
      </c>
      <c r="L143" s="107">
        <f t="shared" si="30"/>
        <v>0.78453200000000001</v>
      </c>
      <c r="M143" s="107">
        <f t="shared" si="30"/>
        <v>0.78413299999999997</v>
      </c>
      <c r="N143" s="107">
        <f t="shared" si="30"/>
        <v>0.71108700000000002</v>
      </c>
      <c r="O143" s="124">
        <f t="shared" si="30"/>
        <v>0.73842799999999997</v>
      </c>
    </row>
    <row r="144" spans="1:15">
      <c r="A144" s="201"/>
      <c r="B144" s="117" t="s">
        <v>1</v>
      </c>
      <c r="C144" s="118">
        <f>HLOOKUP(C$117,$86:$115,28,FALSE)</f>
        <v>711.83126400000003</v>
      </c>
      <c r="D144" s="118">
        <f t="shared" ref="D144:O144" si="31">HLOOKUP(D$117,$86:$115,28,FALSE)</f>
        <v>673.43300199999999</v>
      </c>
      <c r="E144" s="118">
        <f t="shared" si="31"/>
        <v>700.56292299999996</v>
      </c>
      <c r="F144" s="118">
        <f t="shared" si="31"/>
        <v>692.78676099999996</v>
      </c>
      <c r="G144" s="118">
        <f t="shared" si="31"/>
        <v>753.60372900000004</v>
      </c>
      <c r="H144" s="118">
        <f t="shared" si="31"/>
        <v>755.04466200000002</v>
      </c>
      <c r="I144" s="118">
        <f t="shared" si="31"/>
        <v>724.18526099999997</v>
      </c>
      <c r="J144" s="118">
        <f t="shared" si="31"/>
        <v>728.44529599999998</v>
      </c>
      <c r="K144" s="118">
        <f t="shared" si="31"/>
        <v>709.35244399999999</v>
      </c>
      <c r="L144" s="118">
        <f t="shared" si="31"/>
        <v>718.60442799999998</v>
      </c>
      <c r="M144" s="118">
        <f t="shared" si="31"/>
        <v>718.62987899999996</v>
      </c>
      <c r="N144" s="118">
        <f t="shared" si="31"/>
        <v>649.63741000000005</v>
      </c>
      <c r="O144" s="118">
        <f t="shared" si="31"/>
        <v>711.21919700000001</v>
      </c>
    </row>
    <row r="145" spans="1:26">
      <c r="A145" s="201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2"/>
      <c r="B146" s="126" t="s">
        <v>75</v>
      </c>
      <c r="C146" s="130">
        <f>SUM(C136:C138)</f>
        <v>285.51521100000002</v>
      </c>
      <c r="D146" s="130">
        <f t="shared" ref="D146:N146" si="32">SUM(D136:D138)</f>
        <v>258.29193100000003</v>
      </c>
      <c r="E146" s="130">
        <f t="shared" si="32"/>
        <v>244.42555600000003</v>
      </c>
      <c r="F146" s="130">
        <f t="shared" si="32"/>
        <v>215.54716999999999</v>
      </c>
      <c r="G146" s="130">
        <f t="shared" si="32"/>
        <v>238.316866</v>
      </c>
      <c r="H146" s="130">
        <f t="shared" si="32"/>
        <v>264.80307199999999</v>
      </c>
      <c r="I146" s="130">
        <f t="shared" si="32"/>
        <v>286.04636799999997</v>
      </c>
      <c r="J146" s="130">
        <f t="shared" si="32"/>
        <v>308.95148699999999</v>
      </c>
      <c r="K146" s="130">
        <f t="shared" si="32"/>
        <v>271.88263999999998</v>
      </c>
      <c r="L146" s="130">
        <f t="shared" si="32"/>
        <v>312.87707</v>
      </c>
      <c r="M146" s="130">
        <f t="shared" si="32"/>
        <v>282.44370800000002</v>
      </c>
      <c r="N146" s="130">
        <f t="shared" si="32"/>
        <v>296.204272</v>
      </c>
      <c r="O146" s="131">
        <f>SUM(O136:O138)</f>
        <v>261.84115199999997</v>
      </c>
    </row>
    <row r="149" spans="1:26" ht="15">
      <c r="A149" s="157"/>
      <c r="B149" s="157" t="s">
        <v>68</v>
      </c>
      <c r="C149" s="199" t="s">
        <v>57</v>
      </c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79" t="s">
        <v>90</v>
      </c>
      <c r="D150" s="179" t="s">
        <v>91</v>
      </c>
      <c r="E150" s="179" t="s">
        <v>92</v>
      </c>
      <c r="F150" s="179" t="s">
        <v>93</v>
      </c>
      <c r="G150" s="179" t="s">
        <v>94</v>
      </c>
      <c r="H150" s="179" t="s">
        <v>95</v>
      </c>
      <c r="I150" s="179" t="s">
        <v>96</v>
      </c>
      <c r="J150" s="179" t="s">
        <v>97</v>
      </c>
      <c r="K150" s="179" t="s">
        <v>98</v>
      </c>
      <c r="L150" s="179" t="s">
        <v>99</v>
      </c>
      <c r="M150" s="179" t="s">
        <v>100</v>
      </c>
      <c r="N150" s="179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120</v>
      </c>
      <c r="B152" s="159" t="s">
        <v>121</v>
      </c>
      <c r="C152" s="177">
        <v>-6.6750000000000004E-2</v>
      </c>
      <c r="D152" s="177">
        <v>3.46E-3</v>
      </c>
      <c r="E152" s="177">
        <v>-2.9309999999999999E-2</v>
      </c>
      <c r="F152" s="177">
        <v>-4.0899999999999999E-2</v>
      </c>
      <c r="G152" s="177">
        <v>-7.5700000000000003E-3</v>
      </c>
      <c r="H152" s="177">
        <v>3.3700000000000002E-3</v>
      </c>
      <c r="I152" s="177">
        <v>2.8900000000000002E-3</v>
      </c>
      <c r="J152" s="177">
        <v>-1.383E-2</v>
      </c>
      <c r="K152" s="177">
        <v>7.8780000000000003E-2</v>
      </c>
      <c r="L152" s="177">
        <v>2.31E-3</v>
      </c>
      <c r="M152" s="177">
        <v>-6.0499999999999998E-3</v>
      </c>
      <c r="N152" s="177">
        <v>8.2519999999999996E-2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199" t="s">
        <v>58</v>
      </c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79" t="s">
        <v>90</v>
      </c>
      <c r="D156" s="179" t="s">
        <v>91</v>
      </c>
      <c r="E156" s="179" t="s">
        <v>92</v>
      </c>
      <c r="F156" s="179" t="s">
        <v>93</v>
      </c>
      <c r="G156" s="179" t="s">
        <v>94</v>
      </c>
      <c r="H156" s="179" t="s">
        <v>95</v>
      </c>
      <c r="I156" s="179" t="s">
        <v>96</v>
      </c>
      <c r="J156" s="179" t="s">
        <v>97</v>
      </c>
      <c r="K156" s="179" t="s">
        <v>98</v>
      </c>
      <c r="L156" s="179" t="s">
        <v>99</v>
      </c>
      <c r="M156" s="179" t="s">
        <v>100</v>
      </c>
      <c r="N156" s="179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120</v>
      </c>
      <c r="B158" s="159" t="s">
        <v>121</v>
      </c>
      <c r="C158" s="177">
        <v>-8.5999999999999998E-4</v>
      </c>
      <c r="D158" s="177">
        <v>3.2799999999999999E-3</v>
      </c>
      <c r="E158" s="177">
        <v>5.6999999999999998E-4</v>
      </c>
      <c r="F158" s="177">
        <v>-4.7099999999999998E-3</v>
      </c>
      <c r="G158" s="177">
        <v>2.1700000000000001E-3</v>
      </c>
      <c r="H158" s="177">
        <v>1.8600000000000001E-3</v>
      </c>
      <c r="I158" s="177">
        <v>6.0999999999999997E-4</v>
      </c>
      <c r="J158" s="177">
        <v>-2.9999999999999997E-4</v>
      </c>
      <c r="K158" s="177">
        <v>3.0929999999999999E-2</v>
      </c>
      <c r="L158" s="177">
        <v>1.41E-3</v>
      </c>
      <c r="M158" s="177">
        <v>1.0399999999999999E-3</v>
      </c>
      <c r="N158" s="177">
        <v>2.8479999999999998E-2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R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G9" sqref="G9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Marzo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47</v>
      </c>
      <c r="E7" s="69"/>
      <c r="F7" s="185" t="str">
        <f>K3</f>
        <v>Marzo 2023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412.41015099999998</v>
      </c>
      <c r="G9" s="147">
        <f>Dat_01!T24*100</f>
        <v>-6.6749683300000004</v>
      </c>
      <c r="H9" s="75">
        <f>Dat_01!U24/1000</f>
        <v>1294.125125</v>
      </c>
      <c r="I9" s="147">
        <f>Dat_01!W24*100</f>
        <v>-0.75681067999999996</v>
      </c>
      <c r="J9" s="75">
        <f>Dat_01!X24/1000</f>
        <v>6029.8903629999995</v>
      </c>
      <c r="K9" s="147">
        <f>Dat_01!Y24*100</f>
        <v>7.8783126999999995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0.34599999999999997</v>
      </c>
      <c r="H12" s="94"/>
      <c r="I12" s="94">
        <f>Dat_01!H152*100</f>
        <v>0.33700000000000002</v>
      </c>
      <c r="J12" s="94"/>
      <c r="K12" s="94">
        <f>Dat_01!L152*100</f>
        <v>0.23100000000000001</v>
      </c>
    </row>
    <row r="13" spans="3:12">
      <c r="E13" s="77" t="s">
        <v>42</v>
      </c>
      <c r="F13" s="76"/>
      <c r="G13" s="94">
        <f>Dat_01!E152*100</f>
        <v>-2.931</v>
      </c>
      <c r="H13" s="94"/>
      <c r="I13" s="94">
        <f>Dat_01!I152*100</f>
        <v>0.28900000000000003</v>
      </c>
      <c r="J13" s="94"/>
      <c r="K13" s="94">
        <f>Dat_01!M152*100</f>
        <v>-0.60499999999999998</v>
      </c>
    </row>
    <row r="14" spans="3:12">
      <c r="E14" s="78" t="s">
        <v>43</v>
      </c>
      <c r="F14" s="79"/>
      <c r="G14" s="95">
        <f>Dat_01!F152*100</f>
        <v>-4.09</v>
      </c>
      <c r="H14" s="95"/>
      <c r="I14" s="95">
        <f>Dat_01!J152*100</f>
        <v>-1.383</v>
      </c>
      <c r="J14" s="95"/>
      <c r="K14" s="95">
        <f>Dat_01!N152*100</f>
        <v>8.2519999999999989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Marzo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48</v>
      </c>
      <c r="E7" s="69"/>
      <c r="F7" s="185" t="str">
        <f>K3</f>
        <v>Marzo 2023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711.21919700000001</v>
      </c>
      <c r="G9" s="147">
        <f>Dat_01!AB24*100</f>
        <v>-8.5984840000000007E-2</v>
      </c>
      <c r="H9" s="75">
        <f>Dat_01!AC24/1000</f>
        <v>2079.4864860000002</v>
      </c>
      <c r="I9" s="147">
        <f>Dat_01!AE24*100</f>
        <v>0.21667148999999999</v>
      </c>
      <c r="J9" s="75">
        <f>Dat_01!AF24/1000</f>
        <v>8535.5049920000001</v>
      </c>
      <c r="K9" s="147">
        <f>Dat_01!AG24*100</f>
        <v>3.0934762199999999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0.32800000000000001</v>
      </c>
      <c r="H12" s="94"/>
      <c r="I12" s="94">
        <f>Dat_01!H158*100</f>
        <v>0.186</v>
      </c>
      <c r="J12" s="94"/>
      <c r="K12" s="94">
        <f>Dat_01!L158*100</f>
        <v>0.14100000000000001</v>
      </c>
    </row>
    <row r="13" spans="3:12">
      <c r="E13" s="77" t="s">
        <v>42</v>
      </c>
      <c r="F13" s="76"/>
      <c r="G13" s="94">
        <f>Dat_01!E158*100</f>
        <v>5.6999999999999995E-2</v>
      </c>
      <c r="H13" s="94"/>
      <c r="I13" s="94">
        <f>Dat_01!I158*100</f>
        <v>6.0999999999999999E-2</v>
      </c>
      <c r="J13" s="94"/>
      <c r="K13" s="94">
        <f>Dat_01!M158*100</f>
        <v>0.104</v>
      </c>
    </row>
    <row r="14" spans="3:12">
      <c r="E14" s="78" t="s">
        <v>43</v>
      </c>
      <c r="F14" s="79"/>
      <c r="G14" s="95">
        <f>Dat_01!F158*100</f>
        <v>-0.47099999999999997</v>
      </c>
      <c r="H14" s="95"/>
      <c r="I14" s="95">
        <f>Dat_01!J158*100</f>
        <v>-0.03</v>
      </c>
      <c r="J14" s="95"/>
      <c r="K14" s="95">
        <f>Dat_01!N158*100</f>
        <v>2.8479999999999999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127</v>
      </c>
    </row>
    <row r="2" spans="1:2">
      <c r="A2" t="s">
        <v>122</v>
      </c>
    </row>
    <row r="3" spans="1:2">
      <c r="A3" t="s">
        <v>123</v>
      </c>
    </row>
    <row r="4" spans="1:2">
      <c r="A4" t="s">
        <v>125</v>
      </c>
    </row>
    <row r="5" spans="1:2">
      <c r="A5" t="s">
        <v>126</v>
      </c>
    </row>
    <row r="6" spans="1:2">
      <c r="A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P19" sqref="P19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Marzo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88" t="s">
        <v>18</v>
      </c>
      <c r="E7" s="26"/>
      <c r="F7" s="189" t="s">
        <v>17</v>
      </c>
      <c r="G7" s="190"/>
      <c r="H7" s="189" t="s">
        <v>16</v>
      </c>
      <c r="I7" s="190"/>
      <c r="J7" s="189" t="s">
        <v>15</v>
      </c>
      <c r="K7" s="190"/>
      <c r="L7" s="189" t="s">
        <v>14</v>
      </c>
      <c r="M7" s="190"/>
    </row>
    <row r="8" spans="3:23" s="23" customFormat="1" ht="12.75" customHeight="1">
      <c r="C8" s="188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0.29023300000000002</v>
      </c>
      <c r="I9" s="14">
        <f>IF(Dat_01!AB8*100=-100,"-",Dat_01!AB8*100)</f>
        <v>-2.0958285800000001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1.5724449999999999</v>
      </c>
      <c r="I10" s="14">
        <f>Dat_01!AB15*100</f>
        <v>-26.048629490000003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0.20035</v>
      </c>
      <c r="G11" s="14">
        <f>Dat_01!T16*100</f>
        <v>-40.805412749999995</v>
      </c>
      <c r="H11" s="138">
        <f>Dat_01!Z16/1000</f>
        <v>129.95857000000001</v>
      </c>
      <c r="I11" s="14">
        <f>Dat_01!AB16*100</f>
        <v>18.776242839999998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33.525506999999998</v>
      </c>
      <c r="G12" s="14">
        <f>Dat_01!T17*100</f>
        <v>144.38569800000002</v>
      </c>
      <c r="H12" s="138">
        <f>Dat_01!Z17/1000</f>
        <v>31.986924999999999</v>
      </c>
      <c r="I12" s="14">
        <f>Dat_01!AB17*100</f>
        <v>27.70391833</v>
      </c>
      <c r="J12" s="138" t="s">
        <v>3</v>
      </c>
      <c r="K12" s="14" t="s">
        <v>3</v>
      </c>
      <c r="L12" s="138">
        <f>Dat_01!J17/1000</f>
        <v>0</v>
      </c>
      <c r="M12" s="14" t="str">
        <f>IF(Dat_01!L17*100=-100,"-",Dat_01!L17*100)</f>
        <v>-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0.11230800000000001</v>
      </c>
      <c r="G13" s="14">
        <f>Dat_01!T18*100</f>
        <v>-61.430175730000002</v>
      </c>
      <c r="H13" s="138">
        <f>Dat_01!Z18/1000</f>
        <v>0.73842799999999997</v>
      </c>
      <c r="I13" s="14">
        <f>IF(Dat_01!AB18*100=-100,"-",Dat_01!AB18*100)</f>
        <v>-18.84015282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9.6378819999999994</v>
      </c>
      <c r="G14" s="14">
        <f>Dat_01!T21*100</f>
        <v>-0.26324285999999997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0.44390099999999999</v>
      </c>
      <c r="M14" s="14">
        <f>Dat_01!L21*100</f>
        <v>3.79351707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43.476046999999994</v>
      </c>
      <c r="G15" s="156">
        <f>((SUM(Dat_01!R8,Dat_01!R15:R18,Dat_01!R20)/SUM(Dat_01!S8,Dat_01!S15:S18,Dat_01!S20))-1)*100</f>
        <v>81.065411954185777</v>
      </c>
      <c r="H15" s="155">
        <f>SUM(H9:H14)</f>
        <v>164.54660100000001</v>
      </c>
      <c r="I15" s="156">
        <f>((SUM(Dat_01!Z8,Dat_01!Z15:Z18,Dat_01!Z20)/SUM(Dat_01!AA8,Dat_01!AA15:AA18,Dat_01!AA20))-1)*100</f>
        <v>19.414098570068838</v>
      </c>
      <c r="J15" s="155" t="s">
        <v>3</v>
      </c>
      <c r="K15" s="156" t="s">
        <v>3</v>
      </c>
      <c r="L15" s="156">
        <f>SUM(L9:L14)</f>
        <v>0.44390099999999999</v>
      </c>
      <c r="M15" s="156">
        <f>((SUM(Dat_01!J8,Dat_01!J15:J18,Dat_01!J21)/SUM(Dat_01!K8,Dat_01!K15:K18,Dat_01!K20))-1)*100</f>
        <v>2.5301018369453976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-0.51834000000000002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6.2192920000000003</v>
      </c>
      <c r="G17" s="20">
        <f>((SUM(Dat_01!R10,Dat_01!R14)/SUM(Dat_01!S10,Dat_01!S14))-1)*100</f>
        <v>-76.643165714573286</v>
      </c>
      <c r="H17" s="139">
        <f>SUM(Dat_01!Z10,Dat_01!Z14)/1000</f>
        <v>141.34883499999998</v>
      </c>
      <c r="I17" s="20">
        <f>((SUM(Dat_01!Z10,Dat_01!Z14)/SUM(Dat_01!AA10,Dat_01!AA14))-1)*100</f>
        <v>-5.0313016990742305</v>
      </c>
      <c r="J17" s="139">
        <f>Dat_01!B10/1000</f>
        <v>15.377986999999999</v>
      </c>
      <c r="K17" s="20">
        <f>Dat_01!D10*100</f>
        <v>-9.9289346999999992</v>
      </c>
      <c r="L17" s="139">
        <f>Dat_01!J10/1000</f>
        <v>14.303305</v>
      </c>
      <c r="M17" s="20">
        <f>Dat_01!L10*100</f>
        <v>-4.0950339400000004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34.532919999999997</v>
      </c>
      <c r="G18" s="20">
        <f>Dat_01!T11*100</f>
        <v>108.14838345</v>
      </c>
      <c r="H18" s="139">
        <f>Dat_01!Z11/1000</f>
        <v>16.813075000000001</v>
      </c>
      <c r="I18" s="20">
        <f>Dat_01!AB11*100</f>
        <v>-24.493237270000002</v>
      </c>
      <c r="J18" s="139">
        <f>Dat_01!B11/1000</f>
        <v>8.3480000000000013E-3</v>
      </c>
      <c r="K18" s="20">
        <f>IF(Dat_01!D11=-100%,"-",Dat_01!D11*100)</f>
        <v>444.19817470999999</v>
      </c>
      <c r="L18" s="139">
        <f>Dat_01!J11/1000</f>
        <v>2.1070000000000004E-3</v>
      </c>
      <c r="M18" s="20">
        <f>IF(Dat_01!L11*100=-100,"-",Dat_01!L11*100)</f>
        <v>-21.115687010000002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103.679242</v>
      </c>
      <c r="I19" s="20">
        <f>Dat_01!AB12*100</f>
        <v>-9.3799610599999994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40.752212</v>
      </c>
      <c r="G20" s="14">
        <f>((SUM(Dat_01!R10:R12,Dat_01!R14)/SUM(Dat_01!S10:S12,Dat_01!S14))-1)*100</f>
        <v>-5.7050725834852383</v>
      </c>
      <c r="H20" s="138">
        <f>SUM(H17:H19)</f>
        <v>261.84115199999997</v>
      </c>
      <c r="I20" s="14">
        <f>(H20/(H17/(I17/100+1)+H18/(I18/100+1)+H19/(I19/100+1))-1)*100</f>
        <v>-8.2916979840744318</v>
      </c>
      <c r="J20" s="138">
        <f>SUM(J17:J19)</f>
        <v>15.386334999999999</v>
      </c>
      <c r="K20" s="14">
        <f>((SUM(Dat_01!B10:B12)/SUM(Dat_01!C10:C12))-1)*100</f>
        <v>-9.8881356954629638</v>
      </c>
      <c r="L20" s="138">
        <f>SUM(L17:L19)</f>
        <v>14.305412</v>
      </c>
      <c r="M20" s="14">
        <f>((SUM(Dat_01!J10:J12)/SUM(Dat_01!K10:K12))-1)*100</f>
        <v>-4.0980816749751403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233.28242</v>
      </c>
      <c r="G21" s="14">
        <f>Dat_01!T13*100</f>
        <v>-29.52221175</v>
      </c>
      <c r="H21" s="138">
        <f>Dat_01!Z13/1000</f>
        <v>284.83144400000003</v>
      </c>
      <c r="I21" s="14">
        <f>Dat_01!AB13*100</f>
        <v>-1.2788166999999999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3.5856219999999999</v>
      </c>
      <c r="G22" s="14">
        <f>Dat_01!T19*100</f>
        <v>-10.20689151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9.6378819999999994</v>
      </c>
      <c r="G23" s="14">
        <f>Dat_01!T20*100</f>
        <v>-0.26324285999999997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0.44390099999999999</v>
      </c>
      <c r="M23" s="14">
        <f>Dat_01!L20*100</f>
        <v>3.79351707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286.73979600000001</v>
      </c>
      <c r="G24" s="156">
        <f>((SUM(Dat_01!R9:R14,Dat_01!R19,Dat_01!R21)/SUM(Dat_01!S9:S14,Dat_01!S19,Dat_01!S21))-1)*100</f>
        <v>-25.946602291902909</v>
      </c>
      <c r="H24" s="140">
        <f>SUM(H16,H20:H23)</f>
        <v>546.672596</v>
      </c>
      <c r="I24" s="156">
        <f>((SUM(Dat_01!Z9:Z14,Dat_01!Z19,Dat_01!Z21)/SUM(Dat_01!AA9:AA14,Dat_01!AA19,Dat_01!AA21))-1)*100</f>
        <v>-4.7668961833322037</v>
      </c>
      <c r="J24" s="140">
        <f>SUM(J16,J20:J23)</f>
        <v>15.386334999999999</v>
      </c>
      <c r="K24" s="156">
        <f>((SUM(Dat_01!B9:B14,Dat_01!B19,Dat_01!B21)/SUM(Dat_01!C9:C14,Dat_01!C19,Dat_01!C21))-1)*100</f>
        <v>-9.8881356954629638</v>
      </c>
      <c r="L24" s="140">
        <f>SUM(L16,L20:L23)</f>
        <v>14.749313000000001</v>
      </c>
      <c r="M24" s="156">
        <f>((SUM(Dat_01!J9:J14,Dat_01!J19,Dat_01!J21)/SUM(Dat_01!K9:K14,Dat_01!K19,Dat_01!K21))-1)*100</f>
        <v>-3.8781279514047751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82.194308000000007</v>
      </c>
      <c r="G25" s="11">
        <f>Dat_01!T23*100</f>
        <v>167.82741505000001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412.41015099999998</v>
      </c>
      <c r="G26" s="8">
        <f>Dat_01!T24*100</f>
        <v>-6.6749683300000004</v>
      </c>
      <c r="H26" s="142">
        <f>Dat_01!Z24/1000</f>
        <v>711.21919700000001</v>
      </c>
      <c r="I26" s="8">
        <f>Dat_01!AB24*100</f>
        <v>-8.5984840000000007E-2</v>
      </c>
      <c r="J26" s="142">
        <f>Dat_01!B24/1000</f>
        <v>15.386334999999999</v>
      </c>
      <c r="K26" s="8">
        <f>Dat_01!D24*100</f>
        <v>-9.8881356999999994</v>
      </c>
      <c r="L26" s="142">
        <f>Dat_01!J24/1000</f>
        <v>15.193213999999999</v>
      </c>
      <c r="M26" s="8">
        <f>Dat_01!L24*100</f>
        <v>-3.7022792499999997</v>
      </c>
      <c r="N26" s="7"/>
      <c r="O26" s="7"/>
    </row>
    <row r="27" spans="3:23" ht="16.350000000000001" customHeight="1">
      <c r="C27" s="10"/>
      <c r="E27" s="193" t="s">
        <v>56</v>
      </c>
      <c r="F27" s="193"/>
      <c r="G27" s="193"/>
      <c r="H27" s="193"/>
      <c r="I27" s="193"/>
      <c r="J27" s="193"/>
      <c r="K27" s="193"/>
      <c r="L27" s="153"/>
      <c r="M27" s="154"/>
      <c r="N27" s="7"/>
      <c r="O27" s="7"/>
    </row>
    <row r="28" spans="3:23" ht="34.5" customHeight="1">
      <c r="C28" s="10"/>
      <c r="E28" s="194" t="s">
        <v>105</v>
      </c>
      <c r="F28" s="194"/>
      <c r="G28" s="194"/>
      <c r="H28" s="194"/>
      <c r="I28" s="194"/>
      <c r="J28" s="194"/>
      <c r="K28" s="194"/>
      <c r="L28" s="194"/>
      <c r="M28" s="194"/>
      <c r="N28" s="7"/>
      <c r="O28" s="7"/>
    </row>
    <row r="29" spans="3:23" ht="12.75" customHeight="1">
      <c r="C29" s="3"/>
      <c r="D29" s="3"/>
      <c r="E29" s="192" t="s">
        <v>0</v>
      </c>
      <c r="F29" s="192"/>
      <c r="G29" s="192"/>
      <c r="H29" s="192"/>
      <c r="I29" s="192"/>
      <c r="J29" s="192"/>
      <c r="K29" s="192"/>
      <c r="L29" s="192"/>
      <c r="M29" s="192"/>
      <c r="O29" s="6"/>
    </row>
    <row r="30" spans="3:23" ht="12.75" customHeight="1">
      <c r="E30" s="191" t="s">
        <v>82</v>
      </c>
      <c r="F30" s="191"/>
      <c r="G30" s="191"/>
      <c r="H30" s="191"/>
      <c r="I30" s="191"/>
      <c r="J30" s="191"/>
      <c r="K30" s="191"/>
      <c r="L30" s="191"/>
      <c r="M30" s="191"/>
    </row>
    <row r="31" spans="3:23" ht="12.75" customHeight="1">
      <c r="C31" s="3"/>
      <c r="D31" s="3"/>
      <c r="E31" s="191" t="s">
        <v>85</v>
      </c>
      <c r="F31" s="191"/>
      <c r="G31" s="191"/>
      <c r="H31" s="191"/>
      <c r="I31" s="191"/>
      <c r="J31" s="191"/>
      <c r="K31" s="191"/>
      <c r="L31" s="191"/>
      <c r="M31" s="191"/>
    </row>
    <row r="32" spans="3:23" ht="12.75" customHeight="1">
      <c r="E32" s="191" t="s">
        <v>86</v>
      </c>
      <c r="F32" s="191"/>
      <c r="G32" s="191"/>
      <c r="H32" s="191"/>
      <c r="I32" s="191"/>
      <c r="J32" s="191"/>
      <c r="K32" s="191"/>
      <c r="L32" s="191"/>
      <c r="M32" s="191"/>
    </row>
    <row r="33" spans="3:13" ht="12.75" customHeight="1">
      <c r="E33" s="191"/>
      <c r="F33" s="191"/>
      <c r="G33" s="191"/>
      <c r="H33" s="191"/>
      <c r="I33" s="191"/>
      <c r="J33" s="191"/>
      <c r="K33" s="191"/>
      <c r="L33" s="191"/>
      <c r="M33" s="191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H20" sqref="H20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Marzo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31</v>
      </c>
      <c r="D7" s="39"/>
      <c r="E7" s="43"/>
    </row>
    <row r="8" spans="2:12" s="33" customFormat="1" ht="12.75" customHeight="1">
      <c r="B8" s="41"/>
      <c r="C8" s="195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5" t="s">
        <v>28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Marzo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32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19" sqref="H19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Marzo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35</v>
      </c>
      <c r="D7" s="39"/>
      <c r="E7" s="43"/>
    </row>
    <row r="8" spans="2:12" s="33" customFormat="1" ht="12.75" customHeight="1">
      <c r="B8" s="41"/>
      <c r="C8" s="195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5" t="s">
        <v>49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Marzo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36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2023-04-13T14:28:21Z</dcterms:modified>
</cp:coreProperties>
</file>